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wp\excel\static\files\"/>
    </mc:Choice>
  </mc:AlternateContent>
  <xr:revisionPtr revIDLastSave="0" documentId="13_ncr:1_{A8525F8E-13F1-4851-8362-0F485FD978E8}" xr6:coauthVersionLast="47" xr6:coauthVersionMax="47" xr10:uidLastSave="{00000000-0000-0000-0000-000000000000}"/>
  <bookViews>
    <workbookView xWindow="-120" yWindow="-120" windowWidth="29040" windowHeight="15720" xr2:uid="{595837AC-2471-4BB2-8198-892699C428C9}"/>
  </bookViews>
  <sheets>
    <sheet name="ברוכים הבאים" sheetId="4" r:id="rId1"/>
    <sheet name="הגדרות" sheetId="1" r:id="rId2"/>
    <sheet name="נוכחות" sheetId="2" r:id="rId3"/>
    <sheet name="לוח בקרה" sheetId="3" r:id="rId4"/>
  </sheets>
  <externalReferences>
    <externalReference r:id="rId5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13" i="3"/>
  <c r="B8" i="3"/>
  <c r="K33" i="2"/>
  <c r="K34" i="2"/>
  <c r="K35" i="2"/>
  <c r="K36" i="2"/>
  <c r="K37" i="2"/>
  <c r="K38" i="2"/>
  <c r="K39" i="2"/>
  <c r="K40" i="2"/>
  <c r="K41" i="2"/>
  <c r="K42" i="2"/>
  <c r="K43" i="2"/>
  <c r="K44" i="2"/>
  <c r="J8" i="2"/>
  <c r="J10" i="2"/>
  <c r="J13" i="2"/>
  <c r="J16" i="2"/>
  <c r="J18" i="2"/>
  <c r="J21" i="2"/>
  <c r="J24" i="2"/>
  <c r="J26" i="2"/>
  <c r="J29" i="2"/>
  <c r="J32" i="2"/>
  <c r="J35" i="2"/>
  <c r="J38" i="2"/>
  <c r="J41" i="2"/>
  <c r="J43" i="2"/>
  <c r="I8" i="2"/>
  <c r="I9" i="2"/>
  <c r="I16" i="2"/>
  <c r="I17" i="2"/>
  <c r="I24" i="2"/>
  <c r="I25" i="2"/>
  <c r="I32" i="2"/>
  <c r="I34" i="2"/>
  <c r="I41" i="2"/>
  <c r="I42" i="2"/>
  <c r="H8" i="2"/>
  <c r="H11" i="2"/>
  <c r="H14" i="2"/>
  <c r="H16" i="2"/>
  <c r="H19" i="2"/>
  <c r="H22" i="2"/>
  <c r="H24" i="2"/>
  <c r="H27" i="2"/>
  <c r="H30" i="2"/>
  <c r="H32" i="2"/>
  <c r="H36" i="2"/>
  <c r="H39" i="2"/>
  <c r="H41" i="2"/>
  <c r="H44" i="2"/>
  <c r="G3" i="2"/>
  <c r="G4" i="2"/>
  <c r="G5" i="2"/>
  <c r="G6" i="2"/>
  <c r="G7" i="2"/>
  <c r="J7" i="2" s="1"/>
  <c r="G8" i="2"/>
  <c r="G9" i="2"/>
  <c r="J9" i="2" s="1"/>
  <c r="G10" i="2"/>
  <c r="I10" i="2" s="1"/>
  <c r="G11" i="2"/>
  <c r="J11" i="2" s="1"/>
  <c r="G12" i="2"/>
  <c r="G13" i="2"/>
  <c r="H13" i="2" s="1"/>
  <c r="G14" i="2"/>
  <c r="I14" i="2" s="1"/>
  <c r="G15" i="2"/>
  <c r="J15" i="2" s="1"/>
  <c r="G16" i="2"/>
  <c r="G17" i="2"/>
  <c r="J17" i="2" s="1"/>
  <c r="G18" i="2"/>
  <c r="I18" i="2" s="1"/>
  <c r="G19" i="2"/>
  <c r="G20" i="2"/>
  <c r="I20" i="2" s="1"/>
  <c r="G21" i="2"/>
  <c r="H21" i="2" s="1"/>
  <c r="G22" i="2"/>
  <c r="I22" i="2" s="1"/>
  <c r="G23" i="2"/>
  <c r="J23" i="2" s="1"/>
  <c r="G24" i="2"/>
  <c r="G25" i="2"/>
  <c r="J25" i="2" s="1"/>
  <c r="G26" i="2"/>
  <c r="G27" i="2"/>
  <c r="J27" i="2" s="1"/>
  <c r="G28" i="2"/>
  <c r="I28" i="2" s="1"/>
  <c r="G29" i="2"/>
  <c r="H29" i="2" s="1"/>
  <c r="G30" i="2"/>
  <c r="I30" i="2" s="1"/>
  <c r="G31" i="2"/>
  <c r="J31" i="2" s="1"/>
  <c r="G32" i="2"/>
  <c r="G34" i="2"/>
  <c r="J34" i="2" s="1"/>
  <c r="G35" i="2"/>
  <c r="I35" i="2" s="1"/>
  <c r="G36" i="2"/>
  <c r="J36" i="2" s="1"/>
  <c r="G37" i="2"/>
  <c r="J37" i="2" s="1"/>
  <c r="G38" i="2"/>
  <c r="H38" i="2" s="1"/>
  <c r="G39" i="2"/>
  <c r="I39" i="2" s="1"/>
  <c r="G40" i="2"/>
  <c r="J40" i="2" s="1"/>
  <c r="G41" i="2"/>
  <c r="G42" i="2"/>
  <c r="J42" i="2" s="1"/>
  <c r="G43" i="2"/>
  <c r="I43" i="2" s="1"/>
  <c r="G44" i="2"/>
  <c r="J44" i="2" s="1"/>
  <c r="G2" i="2"/>
  <c r="G33" i="2" s="1"/>
  <c r="B18" i="3"/>
  <c r="Q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F3" i="2"/>
  <c r="F4" i="2"/>
  <c r="F5" i="2"/>
  <c r="B15" i="3" s="1"/>
  <c r="F6" i="2"/>
  <c r="F7" i="2"/>
  <c r="F8" i="2"/>
  <c r="F9" i="2"/>
  <c r="F10" i="2"/>
  <c r="F11" i="2"/>
  <c r="F12" i="2"/>
  <c r="F13" i="2"/>
  <c r="F14" i="2"/>
  <c r="F15" i="2"/>
  <c r="F16" i="2"/>
  <c r="F17" i="2"/>
  <c r="B36" i="3" s="1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2" i="2"/>
  <c r="A2" i="2"/>
  <c r="A3" i="2" s="1"/>
  <c r="B3" i="2" s="1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B51" i="3"/>
  <c r="B49" i="3"/>
  <c r="B46" i="3"/>
  <c r="B45" i="3"/>
  <c r="B43" i="3"/>
  <c r="B41" i="3"/>
  <c r="B40" i="3"/>
  <c r="B39" i="3"/>
  <c r="B38" i="3"/>
  <c r="B37" i="3"/>
  <c r="B35" i="3"/>
  <c r="B33" i="3"/>
  <c r="B29" i="3"/>
  <c r="C6" i="3"/>
  <c r="C5" i="3"/>
  <c r="C4" i="3"/>
  <c r="B44" i="3"/>
  <c r="I31" i="2" l="1"/>
  <c r="J2" i="2"/>
  <c r="H37" i="2"/>
  <c r="H28" i="2"/>
  <c r="H20" i="2"/>
  <c r="H12" i="2"/>
  <c r="I38" i="2"/>
  <c r="I29" i="2"/>
  <c r="I21" i="2"/>
  <c r="I13" i="2"/>
  <c r="J39" i="2"/>
  <c r="J30" i="2"/>
  <c r="J22" i="2"/>
  <c r="J14" i="2"/>
  <c r="I37" i="2"/>
  <c r="I12" i="2"/>
  <c r="H43" i="2"/>
  <c r="H35" i="2"/>
  <c r="H26" i="2"/>
  <c r="H18" i="2"/>
  <c r="H10" i="2"/>
  <c r="I44" i="2"/>
  <c r="I36" i="2"/>
  <c r="I27" i="2"/>
  <c r="I19" i="2"/>
  <c r="I11" i="2"/>
  <c r="J28" i="2"/>
  <c r="J20" i="2"/>
  <c r="J12" i="2"/>
  <c r="H42" i="2"/>
  <c r="H34" i="2"/>
  <c r="H25" i="2"/>
  <c r="H17" i="2"/>
  <c r="H9" i="2"/>
  <c r="I26" i="2"/>
  <c r="J19" i="2"/>
  <c r="K2" i="2"/>
  <c r="H40" i="2"/>
  <c r="H31" i="2"/>
  <c r="H23" i="2"/>
  <c r="H15" i="2"/>
  <c r="H7" i="2"/>
  <c r="H2" i="2"/>
  <c r="I40" i="2"/>
  <c r="I23" i="2"/>
  <c r="I15" i="2"/>
  <c r="I7" i="2"/>
  <c r="I2" i="2"/>
  <c r="R3" i="2"/>
  <c r="J3" i="2" s="1"/>
  <c r="B48" i="3"/>
  <c r="R2" i="2"/>
  <c r="C21" i="3" s="1"/>
  <c r="P2" i="2"/>
  <c r="B30" i="3"/>
  <c r="C2" i="2"/>
  <c r="P3" i="2"/>
  <c r="B32" i="3"/>
  <c r="C3" i="2"/>
  <c r="I3" i="2" s="1"/>
  <c r="B24" i="3"/>
  <c r="B47" i="3"/>
  <c r="B31" i="3"/>
  <c r="B21" i="3"/>
  <c r="B34" i="3"/>
  <c r="B42" i="3"/>
  <c r="B50" i="3"/>
  <c r="B22" i="3"/>
  <c r="B27" i="3"/>
  <c r="B28" i="3"/>
  <c r="B26" i="3"/>
  <c r="B2" i="2"/>
  <c r="A4" i="2"/>
  <c r="A22" i="3"/>
  <c r="A21" i="3"/>
  <c r="B25" i="3"/>
  <c r="B11" i="3"/>
  <c r="B16" i="3"/>
  <c r="F33" i="2"/>
  <c r="B23" i="3"/>
  <c r="H3" i="2" l="1"/>
  <c r="K3" i="2"/>
  <c r="R4" i="2"/>
  <c r="C4" i="2"/>
  <c r="K4" i="2" s="1"/>
  <c r="C23" i="3"/>
  <c r="C22" i="3"/>
  <c r="P4" i="2"/>
  <c r="A5" i="2"/>
  <c r="B4" i="2"/>
  <c r="B5" i="2"/>
  <c r="A23" i="3"/>
  <c r="B12" i="3"/>
  <c r="K5" i="2" l="1"/>
  <c r="J4" i="2"/>
  <c r="I4" i="2"/>
  <c r="H4" i="2"/>
  <c r="C5" i="2"/>
  <c r="R5" i="2"/>
  <c r="C24" i="3"/>
  <c r="P5" i="2"/>
  <c r="A6" i="2"/>
  <c r="K6" i="2" s="1"/>
  <c r="A24" i="3"/>
  <c r="J5" i="2" l="1"/>
  <c r="I5" i="2"/>
  <c r="H5" i="2"/>
  <c r="R6" i="2"/>
  <c r="C25" i="3" s="1"/>
  <c r="C6" i="2"/>
  <c r="P6" i="2"/>
  <c r="A7" i="2"/>
  <c r="B6" i="2"/>
  <c r="A25" i="3"/>
  <c r="H6" i="2" l="1"/>
  <c r="H33" i="2" s="1"/>
  <c r="B4" i="3" s="1"/>
  <c r="I6" i="2"/>
  <c r="I33" i="2" s="1"/>
  <c r="B5" i="3" s="1"/>
  <c r="J6" i="2"/>
  <c r="J33" i="2" s="1"/>
  <c r="B6" i="3" s="1"/>
  <c r="R7" i="2"/>
  <c r="C26" i="3" s="1"/>
  <c r="C7" i="2"/>
  <c r="K7" i="2" s="1"/>
  <c r="P7" i="2"/>
  <c r="A8" i="2"/>
  <c r="B7" i="2"/>
  <c r="A26" i="3"/>
  <c r="G5" i="3" l="1"/>
  <c r="D5" i="3"/>
  <c r="B17" i="3"/>
  <c r="D6" i="3"/>
  <c r="G6" i="3"/>
  <c r="D4" i="3"/>
  <c r="G4" i="3"/>
  <c r="C8" i="2"/>
  <c r="K8" i="2" s="1"/>
  <c r="R8" i="2"/>
  <c r="C27" i="3" s="1"/>
  <c r="P8" i="2"/>
  <c r="A9" i="2"/>
  <c r="B8" i="2"/>
  <c r="A27" i="3"/>
  <c r="D8" i="3" l="1"/>
  <c r="R9" i="2"/>
  <c r="C9" i="2"/>
  <c r="K9" i="2" s="1"/>
  <c r="C28" i="3"/>
  <c r="P9" i="2"/>
  <c r="A10" i="2"/>
  <c r="B9" i="2"/>
  <c r="A28" i="3"/>
  <c r="K10" i="2" l="1"/>
  <c r="C10" i="2"/>
  <c r="R10" i="2"/>
  <c r="C29" i="3" s="1"/>
  <c r="P10" i="2"/>
  <c r="A11" i="2"/>
  <c r="B10" i="2"/>
  <c r="A29" i="3"/>
  <c r="K11" i="2" l="1"/>
  <c r="C11" i="2"/>
  <c r="R11" i="2"/>
  <c r="C30" i="3" s="1"/>
  <c r="P11" i="2"/>
  <c r="A12" i="2"/>
  <c r="B11" i="2"/>
  <c r="A30" i="3"/>
  <c r="C12" i="2" l="1"/>
  <c r="K12" i="2" s="1"/>
  <c r="R12" i="2"/>
  <c r="C31" i="3" s="1"/>
  <c r="P12" i="2"/>
  <c r="A13" i="2"/>
  <c r="B12" i="2"/>
  <c r="A31" i="3"/>
  <c r="K13" i="2" l="1"/>
  <c r="R13" i="2"/>
  <c r="C13" i="2"/>
  <c r="C32" i="3"/>
  <c r="P13" i="2"/>
  <c r="A14" i="2"/>
  <c r="B13" i="2"/>
  <c r="A32" i="3"/>
  <c r="R14" i="2" l="1"/>
  <c r="C33" i="3"/>
  <c r="C14" i="2"/>
  <c r="K14" i="2" s="1"/>
  <c r="P14" i="2"/>
  <c r="A15" i="2"/>
  <c r="B14" i="2"/>
  <c r="A33" i="3"/>
  <c r="R15" i="2" l="1"/>
  <c r="C34" i="3"/>
  <c r="C15" i="2"/>
  <c r="K15" i="2" s="1"/>
  <c r="P15" i="2"/>
  <c r="A16" i="2"/>
  <c r="B15" i="2"/>
  <c r="A34" i="3"/>
  <c r="R16" i="2" l="1"/>
  <c r="C35" i="3"/>
  <c r="C16" i="2"/>
  <c r="K16" i="2" s="1"/>
  <c r="P16" i="2"/>
  <c r="A17" i="2"/>
  <c r="B16" i="2"/>
  <c r="A35" i="3"/>
  <c r="R17" i="2" l="1"/>
  <c r="C17" i="2"/>
  <c r="K17" i="2" s="1"/>
  <c r="C36" i="3"/>
  <c r="P17" i="2"/>
  <c r="A18" i="2"/>
  <c r="B17" i="2"/>
  <c r="A36" i="3"/>
  <c r="C18" i="2" l="1"/>
  <c r="K18" i="2" s="1"/>
  <c r="R18" i="2"/>
  <c r="C37" i="3"/>
  <c r="P18" i="2"/>
  <c r="A19" i="2"/>
  <c r="B18" i="2"/>
  <c r="A37" i="3"/>
  <c r="K19" i="2" l="1"/>
  <c r="C19" i="2"/>
  <c r="R19" i="2"/>
  <c r="C38" i="3" s="1"/>
  <c r="P19" i="2"/>
  <c r="A20" i="2"/>
  <c r="B19" i="2"/>
  <c r="A38" i="3"/>
  <c r="C20" i="2" l="1"/>
  <c r="K20" i="2" s="1"/>
  <c r="R20" i="2"/>
  <c r="C39" i="3" s="1"/>
  <c r="P20" i="2"/>
  <c r="A21" i="2"/>
  <c r="B20" i="2"/>
  <c r="A39" i="3"/>
  <c r="R21" i="2" l="1"/>
  <c r="C21" i="2"/>
  <c r="K21" i="2" s="1"/>
  <c r="C40" i="3"/>
  <c r="P21" i="2"/>
  <c r="A22" i="2"/>
  <c r="B21" i="2"/>
  <c r="A40" i="3"/>
  <c r="C22" i="2" l="1"/>
  <c r="K22" i="2" s="1"/>
  <c r="R22" i="2"/>
  <c r="C41" i="3"/>
  <c r="P22" i="2"/>
  <c r="A23" i="2"/>
  <c r="B22" i="2"/>
  <c r="A41" i="3"/>
  <c r="R23" i="2" l="1"/>
  <c r="C42" i="3"/>
  <c r="C23" i="2"/>
  <c r="K23" i="2" s="1"/>
  <c r="P23" i="2"/>
  <c r="A24" i="2"/>
  <c r="B23" i="2"/>
  <c r="A42" i="3"/>
  <c r="R24" i="2" l="1"/>
  <c r="C43" i="3"/>
  <c r="C24" i="2"/>
  <c r="K24" i="2" s="1"/>
  <c r="P24" i="2"/>
  <c r="A25" i="2"/>
  <c r="B24" i="2"/>
  <c r="A43" i="3"/>
  <c r="R25" i="2" l="1"/>
  <c r="C25" i="2"/>
  <c r="K25" i="2" s="1"/>
  <c r="C44" i="3"/>
  <c r="P25" i="2"/>
  <c r="A26" i="2"/>
  <c r="B25" i="2"/>
  <c r="A44" i="3"/>
  <c r="C26" i="2" l="1"/>
  <c r="K26" i="2" s="1"/>
  <c r="R26" i="2"/>
  <c r="C45" i="3"/>
  <c r="P26" i="2"/>
  <c r="A27" i="2"/>
  <c r="B26" i="2"/>
  <c r="A45" i="3"/>
  <c r="C27" i="2" l="1"/>
  <c r="K27" i="2" s="1"/>
  <c r="R27" i="2"/>
  <c r="C46" i="3" s="1"/>
  <c r="P27" i="2"/>
  <c r="A28" i="2"/>
  <c r="B27" i="2"/>
  <c r="A46" i="3"/>
  <c r="C28" i="2" l="1"/>
  <c r="K28" i="2" s="1"/>
  <c r="R28" i="2"/>
  <c r="C47" i="3" s="1"/>
  <c r="P28" i="2"/>
  <c r="A29" i="2"/>
  <c r="B28" i="2"/>
  <c r="A47" i="3"/>
  <c r="R29" i="2" l="1"/>
  <c r="C48" i="3" s="1"/>
  <c r="C29" i="2"/>
  <c r="K29" i="2" s="1"/>
  <c r="P29" i="2"/>
  <c r="A30" i="2"/>
  <c r="B29" i="2"/>
  <c r="A48" i="3"/>
  <c r="R30" i="2" l="1"/>
  <c r="C49" i="3"/>
  <c r="C30" i="2"/>
  <c r="K30" i="2" s="1"/>
  <c r="P30" i="2"/>
  <c r="A31" i="2"/>
  <c r="B30" i="2"/>
  <c r="A49" i="3"/>
  <c r="K31" i="2" l="1"/>
  <c r="R31" i="2"/>
  <c r="C50" i="3"/>
  <c r="C31" i="2"/>
  <c r="P31" i="2"/>
  <c r="A32" i="2"/>
  <c r="B31" i="2"/>
  <c r="A50" i="3"/>
  <c r="R32" i="2" l="1"/>
  <c r="C51" i="3" s="1"/>
  <c r="C32" i="2"/>
  <c r="K32" i="2" s="1"/>
  <c r="P32" i="2"/>
  <c r="B32" i="2"/>
  <c r="A51" i="3"/>
  <c r="N16" i="2" l="1"/>
  <c r="O16" i="2" s="1"/>
  <c r="N30" i="2"/>
  <c r="O30" i="2" s="1"/>
  <c r="N23" i="2"/>
  <c r="N2" i="2"/>
  <c r="O2" i="2" s="1"/>
  <c r="N9" i="2"/>
  <c r="O9" i="2" s="1"/>
  <c r="M30" i="2"/>
  <c r="M9" i="2"/>
  <c r="M16" i="2"/>
  <c r="O23" i="2"/>
  <c r="M23" i="2"/>
  <c r="M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4" authorId="0" shapeId="0" xr:uid="{D012066F-63F7-4C4A-93E7-06765BDAD6B2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הזן את משך ההפסקה היומית בדקות שאינה נספרת כשעות עבודה.
לפי החוק (היתר כללי): עבודה שאינה כפיים:
• שבוע 5 ימים: הפסקה נדרשת מעל 9 שעות ביום
• שבוע 6 ימים: הפסקה נדרשת מעל 8 שעות ביום
אם ה"כניסה" ו"יציאה" שאתה מזין כבר ללא ההפסקה — השאר 0.
אם הם שעות כניסה/יציאה פיזיות — הזן 45 (דקות).</t>
        </r>
      </text>
    </comment>
  </commentList>
</comments>
</file>

<file path=xl/sharedStrings.xml><?xml version="1.0" encoding="utf-8"?>
<sst xmlns="http://schemas.openxmlformats.org/spreadsheetml/2006/main" count="188" uniqueCount="173">
  <si>
    <t>⚙️ הגדרות מחשבון שעות עבודה</t>
  </si>
  <si>
    <t>פרטי עובד</t>
  </si>
  <si>
    <t>שם העובד:</t>
  </si>
  <si>
    <t>ישראל ישראלי</t>
  </si>
  <si>
    <t>ת.ז.:</t>
  </si>
  <si>
    <t>חודש:</t>
  </si>
  <si>
    <t>הגדרות שכר ושעות</t>
  </si>
  <si>
    <t>שכר שעתי (₪):</t>
  </si>
  <si>
    <t>שעות יום עבודה:</t>
  </si>
  <si>
    <t>שעות (ברירת מחדל: 8.6 לשבוע עבודה של 43 שעות)</t>
  </si>
  <si>
    <t>ימי עבודה בשבוע:</t>
  </si>
  <si>
    <t>מידע חוקי</t>
  </si>
  <si>
    <t>● שעות נוספות (125%): 2 שעות ראשונות מעבר למכסה</t>
  </si>
  <si>
    <t>● איסור חוקי: לא יותר מ-12 שעות ביום | לא יותר מ-58 שעות בשבוע</t>
  </si>
  <si>
    <t>תאריך</t>
  </si>
  <si>
    <t>יום</t>
  </si>
  <si>
    <t>כניסה</t>
  </si>
  <si>
    <t>יציאה</t>
  </si>
  <si>
    <t>סה"כ שעות ברוטו</t>
  </si>
  <si>
    <t>רגילות (100%)</t>
  </si>
  <si>
    <t>נוספות (125%)</t>
  </si>
  <si>
    <t>נוספות (150%)</t>
  </si>
  <si>
    <t>הערות / חריגות</t>
  </si>
  <si>
    <t>סה"כ חודשי:</t>
  </si>
  <si>
    <t>📊 לוח בקרה - סיכום חודשי</t>
  </si>
  <si>
    <t>רכיב שכר</t>
  </si>
  <si>
    <t>סך שעות</t>
  </si>
  <si>
    <t>תעריף לשעה</t>
  </si>
  <si>
    <t>סה"כ לתשלום</t>
  </si>
  <si>
    <t>שעות רגילות (100%)</t>
  </si>
  <si>
    <t>שעות נוספות (125%)</t>
  </si>
  <si>
    <t>שעות נוספות (150%)</t>
  </si>
  <si>
    <t>סה"כ שכר ברוטו</t>
  </si>
  <si>
    <t>סטטיסטיקה חודשית</t>
  </si>
  <si>
    <t>ימי עבודה בפועל:</t>
  </si>
  <si>
    <t>ממוצע שעות ליום:</t>
  </si>
  <si>
    <t>יום עבודה ארוך ביותר:</t>
  </si>
  <si>
    <t>יום עבודה קצר ביותר:</t>
  </si>
  <si>
    <t>ימים עם שעות נוספות:</t>
  </si>
  <si>
    <t>ימים עם חריגה (&gt;12 שעות):</t>
  </si>
  <si>
    <t>עלות שעות נוספות מסכ"ה:</t>
  </si>
  <si>
    <t>סוג שעות</t>
  </si>
  <si>
    <t>שעות</t>
  </si>
  <si>
    <t>שעות בפועל</t>
  </si>
  <si>
    <t>תקן (שעות יום עבודה)</t>
  </si>
  <si>
    <t>סיכום שבועי</t>
  </si>
  <si>
    <t>שעות שבועיות</t>
  </si>
  <si>
    <t>מצב</t>
  </si>
  <si>
    <t>בדיקת מנוחה בין ימים</t>
  </si>
  <si>
    <t>(מינימום 8 שעות מנוחה בין ימי עבודה)</t>
  </si>
  <si>
    <t>מנוחה (שעות)</t>
  </si>
  <si>
    <t>000000000</t>
  </si>
  <si>
    <t>(1-12)</t>
  </si>
  <si>
    <t>שנה:</t>
  </si>
  <si>
    <t>מס שבוע</t>
  </si>
  <si>
    <t>📋 אודות המחשבון</t>
  </si>
  <si>
    <t>מחשבון שעות עבודה ושכר בהתאם לחוק שעות העבודה והמנוחה, התשי"א-1951.</t>
  </si>
  <si>
    <t>● חישוב אוטומטי של שעות רגילות (100%), נוספות ראשונות (125%) ונוספות שניות (150%).</t>
  </si>
  <si>
    <t>● מעקב שבועי לפי שבוע קלנדרי (ראשון–שבת) עם התראה על חריגה מ-58 שעות.</t>
  </si>
  <si>
    <t>● בדיקת מנוחה מינימלית (8 שעות) בין ימי עבודה ואיסור חריגה מ-12 שעות ביום.</t>
  </si>
  <si>
    <t>● חישוב שכר ברוטו בלוח הבקרה לפי תעריפי השעות שנקבעו בהגדרות.</t>
  </si>
  <si>
    <t>הזן חודש ושנה בגיליון ההגדרות ומלא שעות כניסה ויציאה — השאר יחושב אוטומטית.</t>
  </si>
  <si>
    <t>סוג יום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</si>
  <si>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</si>
  <si>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</si>
  <si>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</si>
  <si>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</si>
  <si>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</si>
  <si>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</si>
  <si>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</si>
  <si>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</si>
  <si>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</si>
  <si>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</si>
  <si>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</si>
  <si>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</si>
  <si>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</si>
  <si>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</si>
  <si>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</si>
  <si>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</si>
  <si>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</si>
  <si>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</si>
  <si>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</si>
  <si>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</si>
  <si>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</si>
  <si>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</si>
  <si>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</si>
  <si>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</si>
  <si>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</si>
  <si>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</si>
  <si>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</si>
  <si>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</si>
  <si>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</si>
  <si>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</si>
  <si>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</si>
  <si>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</si>
  <si>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</si>
  <si>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</si>
  <si>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</si>
  <si>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</si>
  <si>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</si>
  <si>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</si>
  <si>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</si>
  <si>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</si>
  <si>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</si>
  <si>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</si>
  <si>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</si>
  <si>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</si>
  <si>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</si>
  <si>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</si>
  <si>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</si>
  <si>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</si>
  <si>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</si>
  <si>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</si>
  <si>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</si>
  <si>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</si>
  <si>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</si>
  <si>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</si>
  <si>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</si>
  <si>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</si>
  <si>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</si>
  <si>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</si>
  <si>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</si>
  <si>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</si>
  <si>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</si>
  <si>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</si>
  <si>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</si>
  <si>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</si>
  <si>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</si>
  <si>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</si>
  <si>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</si>
  <si>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</si>
  <si>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</si>
  <si>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</si>
  <si>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</si>
  <si>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</si>
  <si>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</si>
  <si>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</si>
  <si>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</si>
  <si>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</si>
  <si>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</si>
  <si>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</si>
  <si>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</si>
  <si>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</si>
  <si>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</si>
  <si>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</si>
  <si>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</si>
  <si>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</si>
  <si>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</si>
  <si>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</si>
  <si>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</si>
  <si>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</si>
  <si>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</si>
  <si>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</si>
  <si>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</si>
  <si>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</si>
  <si>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</si>
  <si>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</si>
  <si>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</si>
  <si>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שעות יום עבודה (משמרת לילה):</t>
  </si>
  <si>
    <t>שעות (ברירת מחדל: 7 למשמרת לילה לפי חוק)</t>
  </si>
  <si>
    <t>● שעות רגילות (100%): עד 8.6 שעות ביום (או 7 במשמרת לילה)</t>
  </si>
  <si>
    <t>● שעות נוספות (150%): מהשעה ה-10.6 או ה-9 במשמרת לילה ואילך</t>
  </si>
  <si>
    <t>● משמרת לילה: לפחות 2 שעות בין 22:00-06:00 → יום עבודה מלא = 7 שעות</t>
  </si>
  <si>
    <t>● זיהוי אוטומטי: המערכת מזהה משמרת לילה לפי שעות כניסה/יציאה</t>
  </si>
  <si>
    <t>סוג משמרת</t>
  </si>
  <si>
    <t>שעות תקן</t>
  </si>
  <si>
    <t>משמרות לילה:</t>
  </si>
  <si>
    <t>●תמיכה בשבתות, חגים ומשמרות לילה (זיהוי אוטומטי + תקן 7 שעות)</t>
  </si>
  <si>
    <t>הפסקה יומית (דקות):</t>
  </si>
  <si>
    <t>● הפסקה יומית: אינה נספרת כשעות עבודה (לפי ההיתר הכללי של שר העבודה)</t>
  </si>
  <si>
    <t>שעות נטו
(בניכוי הפסקה)</t>
  </si>
  <si>
    <t>● ניכוי הפסקה יומית לפי החוק — מגדיר אחת ולתמיד בהגדרות, והמחשבון מחשב שעות נטו בלבד</t>
  </si>
  <si>
    <t>צווארון כחול: 45 דק׳ לאחר 6 שעות עבודה | צווארון לבן: 45 דק׳ לאחר 9 שעות (שבוע 5 ימים) או 8 שעות (שבוע 6 ימים)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</si>
</sst>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₪#,##0.00"/>
    <numFmt numFmtId="165" formatCode="0.0"/>
    <numFmt numFmtId="166" formatCode="0.0&quot;%&quot;"/>
  </numFmts>
  <fonts count="6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rgb="FF1F4E79"/>
      <name val="Arial"/>
      <family val="2"/>
      <scheme val="minor"/>
    </font>
    <font>
      <b/>
      <sz val="13"/>
      <color rgb="FFFFFFFF"/>
      <name val="Arial"/>
      <family val="2"/>
      <scheme val="minor"/>
    </font>
    <font>
      <sz val="11"/>
      <color rgb="FF0000FF"/>
      <name val="Arial"/>
      <family val="2"/>
      <scheme val="minor"/>
    </font>
    <font>
      <sz val="6"/>
      <color theme="1"/>
      <name val="Arial"/>
      <family val="2"/>
      <scheme val="minor"/>
    </font>
    <font>
      <sz val="9"/>
      <color rgb="FF80808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FFFFFF"/>
      <name val="Arial"/>
      <family val="2"/>
      <scheme val="minor"/>
    </font>
    <font>
      <b/>
      <sz val="12"/>
      <color rgb="FFFFFFFF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0"/>
      <color rgb="FFFFFFFF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808080"/>
      <name val="Arial"/>
      <family val="2"/>
      <scheme val="minor"/>
    </font>
    <font>
      <b/>
      <sz val="13"/>
      <color rgb="FF1F4E79"/>
      <name val="Arial"/>
      <family val="2"/>
      <scheme val="minor"/>
    </font>
    <font>
      <sz val="10"/>
      <color rgb="FF404040"/>
      <name val="Arial"/>
      <family val="2"/>
      <scheme val="minor"/>
    </font>
    <font>
      <b/>
      <sz val="28"/>
      <color rgb="FF1B4F72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b/>
      <sz val="11"/>
      <color rgb="FF000000"/>
      <name val="Arial"/>
      <scheme val="minor"/>
    </font>
    <font>
      <sz val="11"/>
      <color rgb="FF0000FF"/>
      <name val="Arial"/>
      <scheme val="minor"/>
    </font>
    <font>
      <sz val="9"/>
      <color rgb="FF808080"/>
      <name val="Arial"/>
      <scheme val="minor"/>
    </font>
    <font>
      <b/>
      <sz val="13"/>
      <color rgb="FFFFFFFF"/>
      <name val="Arial"/>
      <scheme val="minor"/>
    </font>
    <font>
      <sz val="10"/>
      <color rgb="FF000000"/>
      <name val="Arial"/>
      <scheme val="minor"/>
    </font>
    <font>
      <sz val="10"/>
      <color rgb="FF7B2D8E"/>
      <name val="Arial"/>
      <scheme val="minor"/>
    </font>
    <font>
      <b/>
      <sz val="10"/>
      <color rgb="FF7B2D8E"/>
      <name val="Arial"/>
      <scheme val="minor"/>
    </font>
    <font>
      <b/>
      <sz val="10"/>
      <color rgb="FFFFFFFF"/>
      <name val="Arial"/>
      <scheme val="minor"/>
    </font>
    <font>
      <sz val="10"/>
      <color theme="1"/>
      <name val="Arial"/>
      <scheme val="minor"/>
    </font>
    <font>
      <b/>
      <sz val="11"/>
      <color rgb="FF7B2D8E"/>
      <name val="Arial"/>
      <scheme val="minor"/>
    </font>
    <font>
      <sz val="10"/>
      <color rgb="FF404040"/>
      <name val="Arial"/>
      <scheme val="minor"/>
    </font>
    <font>
      <b/>
      <sz val="10"/>
      <color rgb="FF2E75B6"/>
      <name val="Arial"/>
      <scheme val="minor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9"/>
      <color indexed="81"/>
      <name val="Tahoma"/>
      <charset val="177"/>
    </font>
    <font>
      <b/>
      <sz val="9"/>
      <color indexed="81"/>
      <name val="Tahoma"/>
      <charset val="177"/>
    </font>
    <font>
      <b/>
      <sz val="12"/>
      <color rgb="FFFFFFFF"/>
      <name val="Arial"/>
      <scheme val="minor"/>
    </font>
    <font>
      <sz val="9"/>
      <color rgb="FF404040"/>
      <name val="Arial"/>
      <scheme val="minor"/>
    </font>
    <font>
      <b/>
      <sz val="13"/>
      <color theme="1"/>
      <name val="Arial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CE4EC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0FE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FFEBEE"/>
        <bgColor indexed="64"/>
      </patternFill>
    </fill>
    <fill>
      <patternFill patternType="solid">
        <fgColor rgb="FF7B2D8E"/>
        <bgColor indexed="64"/>
      </patternFill>
    </fill>
    <fill>
      <patternFill patternType="solid">
        <fgColor rgb="FFF5EFF7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E8F4FD"/>
        <bgColor indexed="64"/>
      </patternFill>
    </fill>
  </fills>
  <borders count="50">
    <border>
      <left/>
      <right/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1F4E79"/>
      </bottom>
      <diagonal/>
    </border>
    <border>
      <left style="medium">
        <color rgb="FF1F4E79"/>
      </left>
      <right style="thin">
        <color rgb="FFD9D9D9"/>
      </right>
      <top style="medium">
        <color rgb="FF1F4E79"/>
      </top>
      <bottom style="thin">
        <color rgb="FFD9D9D9"/>
      </bottom>
      <diagonal/>
    </border>
    <border>
      <left style="medium">
        <color rgb="FF1F4E7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1F4E79"/>
      </left>
      <right style="thin">
        <color rgb="FFD9D9D9"/>
      </right>
      <top style="thin">
        <color rgb="FFD9D9D9"/>
      </top>
      <bottom style="medium">
        <color rgb="FF1F4E79"/>
      </bottom>
      <diagonal/>
    </border>
    <border>
      <left style="thin">
        <color rgb="FFD9D9D9"/>
      </left>
      <right style="medium">
        <color rgb="FF1F4E79"/>
      </right>
      <top style="medium">
        <color rgb="FF1F4E79"/>
      </top>
      <bottom style="thin">
        <color rgb="FFD9D9D9"/>
      </bottom>
      <diagonal/>
    </border>
    <border>
      <left style="thin">
        <color rgb="FFD9D9D9"/>
      </left>
      <right style="medium">
        <color rgb="FF1F4E7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1F4E79"/>
      </right>
      <top style="thin">
        <color rgb="FFD9D9D9"/>
      </top>
      <bottom style="medium">
        <color rgb="FF1F4E79"/>
      </bottom>
      <diagonal/>
    </border>
    <border>
      <left style="medium">
        <color rgb="FF1F4E7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rgb="FF1F4E79"/>
      </right>
      <top/>
      <bottom style="thin">
        <color rgb="FFD9D9D9"/>
      </bottom>
      <diagonal/>
    </border>
    <border>
      <left style="medium">
        <color rgb="FF1F4E79"/>
      </left>
      <right style="thin">
        <color rgb="FFD9D9D9"/>
      </right>
      <top style="medium">
        <color rgb="FF1F4E79"/>
      </top>
      <bottom style="medium">
        <color rgb="FFFFFFFF"/>
      </bottom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medium">
        <color rgb="FFFFFFFF"/>
      </bottom>
      <diagonal/>
    </border>
    <border>
      <left style="thin">
        <color rgb="FFD9D9D9"/>
      </left>
      <right style="medium">
        <color rgb="FF1F4E79"/>
      </right>
      <top style="medium">
        <color rgb="FF1F4E79"/>
      </top>
      <bottom style="medium">
        <color rgb="FFFFFFFF"/>
      </bottom>
      <diagonal/>
    </border>
    <border>
      <left style="medium">
        <color rgb="FF1F4E79"/>
      </left>
      <right style="thin">
        <color rgb="FFD9D9D9"/>
      </right>
      <top style="medium">
        <color rgb="FF1F4E79"/>
      </top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medium">
        <color rgb="FF1F4E79"/>
      </bottom>
      <diagonal/>
    </border>
    <border>
      <left style="medium">
        <color rgb="FF2E75B6"/>
      </left>
      <right style="thin">
        <color rgb="FFD9D9D9"/>
      </right>
      <top style="medium">
        <color rgb="FF2E75B6"/>
      </top>
      <bottom style="thin">
        <color rgb="FFD9D9D9"/>
      </bottom>
      <diagonal/>
    </border>
    <border>
      <left style="medium">
        <color rgb="FF2E75B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2E75B6"/>
      </right>
      <top style="medium">
        <color rgb="FF2E75B6"/>
      </top>
      <bottom style="thin">
        <color rgb="FFD9D9D9"/>
      </bottom>
      <diagonal/>
    </border>
    <border>
      <left style="thin">
        <color rgb="FFD9D9D9"/>
      </left>
      <right style="medium">
        <color rgb="FF2E75B6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2E75B6"/>
      </right>
      <top style="thin">
        <color rgb="FFD9D9D9"/>
      </top>
      <bottom style="medium">
        <color rgb="FF2E75B6"/>
      </bottom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/>
      <right/>
      <top style="medium">
        <color rgb="FF7B2D8E"/>
      </top>
      <bottom style="medium">
        <color rgb="FFFFFFFF"/>
      </bottom>
      <diagonal/>
    </border>
    <border>
      <left style="medium">
        <color rgb="FF2E75B6"/>
      </left>
      <right style="thin">
        <color rgb="FFD9D9D9"/>
      </right>
      <top style="thin">
        <color rgb="FFD9D9D9"/>
      </top>
      <bottom/>
      <diagonal/>
    </border>
    <border>
      <left style="medium">
        <color rgb="FF2E75B6"/>
      </left>
      <right/>
      <top style="thin">
        <color rgb="FFD9D9D9"/>
      </top>
      <bottom style="medium">
        <color rgb="FF2E75B6"/>
      </bottom>
      <diagonal/>
    </border>
    <border>
      <left style="thin">
        <color rgb="FFD9D9D9"/>
      </left>
      <right style="medium">
        <color rgb="FF2E75B6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medium">
        <color rgb="FF1F4E79"/>
      </top>
      <bottom style="medium">
        <color rgb="FFFFFFFF"/>
      </bottom>
      <diagonal/>
    </border>
    <border>
      <left/>
      <right style="thin">
        <color rgb="FFD9D9D9"/>
      </right>
      <top style="medium">
        <color rgb="FF1F4E79"/>
      </top>
      <bottom style="medium">
        <color rgb="FFFFFFFF"/>
      </bottom>
      <diagonal/>
    </border>
    <border>
      <left style="thin">
        <color rgb="FFD9D9D9"/>
      </left>
      <right style="thin">
        <color rgb="FFD9D9D9"/>
      </right>
      <top style="medium">
        <color rgb="FFFFFFFF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rgb="FF1F4E79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5">
    <xf numFmtId="0" fontId="0" fillId="0" borderId="0" xfId="0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0" fillId="3" borderId="0" xfId="0" applyFill="1"/>
    <xf numFmtId="0" fontId="1" fillId="4" borderId="0" xfId="0" applyFont="1" applyFill="1" applyAlignment="1">
      <alignment horizontal="right"/>
    </xf>
    <xf numFmtId="49" fontId="4" fillId="4" borderId="0" xfId="0" applyNumberFormat="1" applyFont="1" applyFill="1" applyAlignment="1">
      <alignment horizontal="right"/>
    </xf>
    <xf numFmtId="0" fontId="0" fillId="4" borderId="0" xfId="0" applyFill="1"/>
    <xf numFmtId="0" fontId="5" fillId="0" borderId="0" xfId="0" applyFont="1"/>
    <xf numFmtId="0" fontId="3" fillId="5" borderId="0" xfId="0" applyFont="1" applyFill="1" applyAlignment="1">
      <alignment horizontal="center"/>
    </xf>
    <xf numFmtId="0" fontId="0" fillId="5" borderId="0" xfId="0" applyFill="1"/>
    <xf numFmtId="164" fontId="4" fillId="3" borderId="0" xfId="0" applyNumberFormat="1" applyFont="1" applyFill="1" applyAlignment="1">
      <alignment horizontal="center"/>
    </xf>
    <xf numFmtId="165" fontId="4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right"/>
    </xf>
    <xf numFmtId="1" fontId="4" fillId="3" borderId="0" xfId="0" applyNumberFormat="1" applyFon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8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0" fontId="0" fillId="11" borderId="2" xfId="0" applyNumberFormat="1" applyFill="1" applyBorder="1" applyAlignment="1">
      <alignment horizontal="center"/>
    </xf>
    <xf numFmtId="2" fontId="0" fillId="12" borderId="2" xfId="0" applyNumberFormat="1" applyFill="1" applyBorder="1" applyAlignment="1">
      <alignment horizontal="center"/>
    </xf>
    <xf numFmtId="2" fontId="0" fillId="13" borderId="2" xfId="0" applyNumberFormat="1" applyFill="1" applyBorder="1" applyAlignment="1">
      <alignment horizontal="center"/>
    </xf>
    <xf numFmtId="2" fontId="0" fillId="14" borderId="2" xfId="0" applyNumberFormat="1" applyFill="1" applyBorder="1" applyAlignment="1">
      <alignment horizontal="center"/>
    </xf>
    <xf numFmtId="14" fontId="0" fillId="10" borderId="7" xfId="0" applyNumberFormat="1" applyFill="1" applyBorder="1" applyAlignment="1">
      <alignment horizontal="center"/>
    </xf>
    <xf numFmtId="14" fontId="0" fillId="10" borderId="12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20" fontId="0" fillId="11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9" borderId="16" xfId="0" applyFont="1" applyFill="1" applyBorder="1" applyAlignment="1">
      <alignment horizontal="center"/>
    </xf>
    <xf numFmtId="20" fontId="0" fillId="11" borderId="3" xfId="0" applyNumberFormat="1" applyFill="1" applyBorder="1" applyAlignment="1">
      <alignment horizontal="center"/>
    </xf>
    <xf numFmtId="0" fontId="0" fillId="2" borderId="17" xfId="0" applyFill="1" applyBorder="1"/>
    <xf numFmtId="0" fontId="9" fillId="2" borderId="18" xfId="0" applyFont="1" applyFill="1" applyBorder="1" applyAlignment="1">
      <alignment horizontal="center"/>
    </xf>
    <xf numFmtId="0" fontId="0" fillId="2" borderId="18" xfId="0" applyFill="1" applyBorder="1"/>
    <xf numFmtId="2" fontId="9" fillId="2" borderId="18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10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164" fontId="0" fillId="12" borderId="2" xfId="0" applyNumberFormat="1" applyFill="1" applyBorder="1" applyAlignment="1">
      <alignment horizontal="center"/>
    </xf>
    <xf numFmtId="164" fontId="0" fillId="13" borderId="2" xfId="0" applyNumberFormat="1" applyFill="1" applyBorder="1" applyAlignment="1">
      <alignment horizontal="center"/>
    </xf>
    <xf numFmtId="164" fontId="0" fillId="14" borderId="2" xfId="0" applyNumberFormat="1" applyFill="1" applyBorder="1" applyAlignment="1">
      <alignment horizontal="center"/>
    </xf>
    <xf numFmtId="0" fontId="0" fillId="2" borderId="2" xfId="0" applyFill="1" applyBorder="1"/>
    <xf numFmtId="0" fontId="9" fillId="2" borderId="4" xfId="0" applyFont="1" applyFill="1" applyBorder="1" applyAlignment="1">
      <alignment horizontal="center"/>
    </xf>
    <xf numFmtId="0" fontId="0" fillId="3" borderId="5" xfId="0" applyFill="1" applyBorder="1"/>
    <xf numFmtId="0" fontId="9" fillId="2" borderId="6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right"/>
    </xf>
    <xf numFmtId="0" fontId="1" fillId="13" borderId="7" xfId="0" applyFont="1" applyFill="1" applyBorder="1" applyAlignment="1">
      <alignment horizontal="right"/>
    </xf>
    <xf numFmtId="0" fontId="1" fillId="14" borderId="7" xfId="0" applyFont="1" applyFill="1" applyBorder="1" applyAlignment="1">
      <alignment horizontal="right"/>
    </xf>
    <xf numFmtId="0" fontId="0" fillId="2" borderId="7" xfId="0" applyFill="1" applyBorder="1"/>
    <xf numFmtId="0" fontId="10" fillId="3" borderId="8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center"/>
    </xf>
    <xf numFmtId="164" fontId="1" fillId="12" borderId="10" xfId="0" applyNumberFormat="1" applyFont="1" applyFill="1" applyBorder="1" applyAlignment="1">
      <alignment horizontal="center"/>
    </xf>
    <xf numFmtId="164" fontId="1" fillId="13" borderId="10" xfId="0" applyNumberFormat="1" applyFont="1" applyFill="1" applyBorder="1" applyAlignment="1">
      <alignment horizontal="center"/>
    </xf>
    <xf numFmtId="164" fontId="1" fillId="14" borderId="10" xfId="0" applyNumberFormat="1" applyFont="1" applyFill="1" applyBorder="1" applyAlignment="1">
      <alignment horizontal="center"/>
    </xf>
    <xf numFmtId="0" fontId="0" fillId="2" borderId="10" xfId="0" applyFill="1" applyBorder="1"/>
    <xf numFmtId="164" fontId="11" fillId="3" borderId="11" xfId="0" applyNumberFormat="1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2" fillId="14" borderId="20" xfId="0" applyFont="1" applyFill="1" applyBorder="1" applyAlignment="1">
      <alignment horizontal="right"/>
    </xf>
    <xf numFmtId="0" fontId="0" fillId="5" borderId="21" xfId="0" applyFill="1" applyBorder="1"/>
    <xf numFmtId="1" fontId="0" fillId="4" borderId="22" xfId="0" applyNumberFormat="1" applyFill="1" applyBorder="1" applyAlignment="1">
      <alignment horizontal="center"/>
    </xf>
    <xf numFmtId="2" fontId="0" fillId="3" borderId="22" xfId="0" applyNumberFormat="1" applyFill="1" applyBorder="1" applyAlignment="1">
      <alignment horizontal="center"/>
    </xf>
    <xf numFmtId="1" fontId="12" fillId="14" borderId="22" xfId="0" applyNumberFormat="1" applyFont="1" applyFill="1" applyBorder="1" applyAlignment="1">
      <alignment horizontal="center"/>
    </xf>
    <xf numFmtId="0" fontId="13" fillId="15" borderId="0" xfId="0" applyFont="1" applyFill="1" applyAlignment="1">
      <alignment horizontal="center"/>
    </xf>
    <xf numFmtId="0" fontId="7" fillId="16" borderId="0" xfId="0" applyFont="1" applyFill="1" applyAlignment="1">
      <alignment horizontal="center"/>
    </xf>
    <xf numFmtId="165" fontId="7" fillId="16" borderId="0" xfId="0" applyNumberFormat="1" applyFont="1" applyFill="1" applyAlignment="1">
      <alignment horizontal="center"/>
    </xf>
    <xf numFmtId="1" fontId="4" fillId="3" borderId="0" xfId="0" applyNumberFormat="1" applyFont="1" applyFill="1" applyAlignment="1">
      <alignment horizontal="right"/>
    </xf>
    <xf numFmtId="0" fontId="6" fillId="3" borderId="0" xfId="0" applyFont="1" applyFill="1"/>
    <xf numFmtId="1" fontId="4" fillId="4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8" fillId="15" borderId="15" xfId="0" applyFont="1" applyFill="1" applyBorder="1" applyAlignment="1">
      <alignment horizontal="center"/>
    </xf>
    <xf numFmtId="0" fontId="15" fillId="16" borderId="1" xfId="0" applyFont="1" applyFill="1" applyBorder="1" applyAlignment="1">
      <alignment horizontal="center"/>
    </xf>
    <xf numFmtId="0" fontId="0" fillId="11" borderId="0" xfId="0" applyFill="1"/>
    <xf numFmtId="0" fontId="19" fillId="11" borderId="0" xfId="0" applyFont="1" applyFill="1" applyAlignment="1">
      <alignment horizontal="right"/>
    </xf>
    <xf numFmtId="0" fontId="14" fillId="11" borderId="0" xfId="1" applyFill="1"/>
    <xf numFmtId="0" fontId="20" fillId="11" borderId="0" xfId="0" applyFont="1" applyFill="1" applyAlignment="1">
      <alignment horizontal="right"/>
    </xf>
    <xf numFmtId="0" fontId="0" fillId="17" borderId="24" xfId="0" applyFill="1" applyBorder="1"/>
    <xf numFmtId="0" fontId="21" fillId="11" borderId="0" xfId="0" applyFont="1" applyFill="1" applyAlignment="1">
      <alignment horizontal="right"/>
    </xf>
    <xf numFmtId="0" fontId="22" fillId="11" borderId="0" xfId="0" applyFont="1" applyFill="1" applyAlignment="1">
      <alignment horizontal="right"/>
    </xf>
    <xf numFmtId="0" fontId="23" fillId="17" borderId="0" xfId="0" applyFont="1" applyFill="1" applyAlignment="1">
      <alignment horizontal="right" readingOrder="2"/>
    </xf>
    <xf numFmtId="0" fontId="0" fillId="17" borderId="0" xfId="0" applyFill="1"/>
    <xf numFmtId="0" fontId="24" fillId="18" borderId="25" xfId="0" applyFont="1" applyFill="1" applyBorder="1" applyAlignment="1">
      <alignment horizontal="right" readingOrder="2"/>
    </xf>
    <xf numFmtId="0" fontId="24" fillId="18" borderId="26" xfId="0" applyFont="1" applyFill="1" applyBorder="1" applyAlignment="1">
      <alignment horizontal="right" readingOrder="2"/>
    </xf>
    <xf numFmtId="0" fontId="0" fillId="0" borderId="0" xfId="0" applyAlignment="1">
      <alignment readingOrder="2"/>
    </xf>
    <xf numFmtId="0" fontId="25" fillId="18" borderId="27" xfId="0" applyFont="1" applyFill="1" applyBorder="1" applyAlignment="1">
      <alignment horizontal="right" readingOrder="2"/>
    </xf>
    <xf numFmtId="0" fontId="25" fillId="18" borderId="28" xfId="0" applyFont="1" applyFill="1" applyBorder="1" applyAlignment="1">
      <alignment horizontal="right" readingOrder="2"/>
    </xf>
    <xf numFmtId="0" fontId="23" fillId="17" borderId="0" xfId="0" applyFont="1" applyFill="1" applyAlignment="1">
      <alignment horizontal="center"/>
    </xf>
    <xf numFmtId="0" fontId="26" fillId="17" borderId="29" xfId="0" applyFont="1" applyFill="1" applyBorder="1"/>
    <xf numFmtId="0" fontId="27" fillId="19" borderId="0" xfId="0" applyFont="1" applyFill="1" applyAlignment="1">
      <alignment horizontal="center"/>
    </xf>
    <xf numFmtId="0" fontId="28" fillId="19" borderId="0" xfId="0" applyFont="1" applyFill="1" applyAlignment="1">
      <alignment horizontal="right" readingOrder="2"/>
    </xf>
    <xf numFmtId="0" fontId="25" fillId="19" borderId="0" xfId="0" applyFont="1" applyFill="1" applyAlignment="1">
      <alignment horizontal="right" readingOrder="2"/>
    </xf>
    <xf numFmtId="0" fontId="23" fillId="17" borderId="0" xfId="0" applyFont="1" applyFill="1" applyAlignment="1">
      <alignment horizontal="right"/>
    </xf>
    <xf numFmtId="0" fontId="29" fillId="11" borderId="0" xfId="0" applyFont="1" applyFill="1" applyAlignment="1">
      <alignment horizontal="right"/>
    </xf>
    <xf numFmtId="0" fontId="31" fillId="11" borderId="0" xfId="0" applyFont="1" applyFill="1" applyAlignment="1">
      <alignment horizontal="right"/>
    </xf>
    <xf numFmtId="0" fontId="0" fillId="11" borderId="0" xfId="0" applyFill="1" applyAlignment="1">
      <alignment horizontal="right"/>
    </xf>
    <xf numFmtId="0" fontId="32" fillId="11" borderId="0" xfId="0" applyFont="1" applyFill="1" applyAlignment="1">
      <alignment horizontal="right"/>
    </xf>
    <xf numFmtId="0" fontId="33" fillId="11" borderId="0" xfId="0" applyFont="1" applyFill="1" applyAlignment="1">
      <alignment horizontal="right"/>
    </xf>
    <xf numFmtId="9" fontId="35" fillId="20" borderId="30" xfId="0" applyNumberFormat="1" applyFont="1" applyFill="1" applyBorder="1" applyAlignment="1">
      <alignment horizontal="center"/>
    </xf>
    <xf numFmtId="0" fontId="35" fillId="20" borderId="30" xfId="0" applyFont="1" applyFill="1" applyBorder="1" applyAlignment="1">
      <alignment horizontal="center"/>
    </xf>
    <xf numFmtId="0" fontId="36" fillId="20" borderId="0" xfId="0" applyFont="1" applyFill="1" applyAlignment="1">
      <alignment horizontal="center"/>
    </xf>
    <xf numFmtId="0" fontId="37" fillId="20" borderId="31" xfId="0" applyFont="1" applyFill="1" applyBorder="1" applyAlignment="1">
      <alignment horizontal="center" readingOrder="2"/>
    </xf>
    <xf numFmtId="0" fontId="0" fillId="11" borderId="0" xfId="0" applyFill="1" applyAlignment="1">
      <alignment readingOrder="2"/>
    </xf>
    <xf numFmtId="0" fontId="38" fillId="11" borderId="0" xfId="0" applyFont="1" applyFill="1" applyAlignment="1">
      <alignment horizontal="right" readingOrder="2"/>
    </xf>
    <xf numFmtId="0" fontId="39" fillId="11" borderId="0" xfId="0" applyFont="1" applyFill="1" applyAlignment="1">
      <alignment horizontal="center"/>
    </xf>
    <xf numFmtId="0" fontId="40" fillId="11" borderId="0" xfId="0" applyFont="1" applyFill="1" applyAlignment="1">
      <alignment horizontal="right"/>
    </xf>
    <xf numFmtId="0" fontId="40" fillId="11" borderId="0" xfId="0" applyFont="1" applyFill="1" applyAlignment="1">
      <alignment horizontal="right" readingOrder="2"/>
    </xf>
    <xf numFmtId="0" fontId="8" fillId="17" borderId="32" xfId="0" applyFont="1" applyFill="1" applyBorder="1" applyAlignment="1">
      <alignment horizontal="center"/>
    </xf>
    <xf numFmtId="0" fontId="8" fillId="21" borderId="33" xfId="0" applyFont="1" applyFill="1" applyBorder="1" applyAlignment="1">
      <alignment horizontal="center"/>
    </xf>
    <xf numFmtId="0" fontId="8" fillId="22" borderId="32" xfId="0" applyFont="1" applyFill="1" applyBorder="1" applyAlignment="1">
      <alignment horizontal="center"/>
    </xf>
    <xf numFmtId="0" fontId="36" fillId="23" borderId="32" xfId="0" applyFont="1" applyFill="1" applyBorder="1" applyAlignment="1">
      <alignment horizontal="center" readingOrder="2"/>
    </xf>
    <xf numFmtId="0" fontId="41" fillId="23" borderId="34" xfId="0" applyFont="1" applyFill="1" applyBorder="1" applyAlignment="1">
      <alignment horizontal="center"/>
    </xf>
    <xf numFmtId="0" fontId="42" fillId="23" borderId="32" xfId="0" applyFont="1" applyFill="1" applyBorder="1" applyAlignment="1">
      <alignment horizontal="center" readingOrder="2"/>
    </xf>
    <xf numFmtId="0" fontId="36" fillId="11" borderId="35" xfId="0" applyFont="1" applyFill="1" applyBorder="1" applyAlignment="1">
      <alignment horizontal="center" readingOrder="2"/>
    </xf>
    <xf numFmtId="0" fontId="41" fillId="11" borderId="36" xfId="0" applyFont="1" applyFill="1" applyBorder="1" applyAlignment="1">
      <alignment horizontal="center"/>
    </xf>
    <xf numFmtId="0" fontId="42" fillId="11" borderId="35" xfId="0" applyFont="1" applyFill="1" applyBorder="1" applyAlignment="1">
      <alignment horizontal="center"/>
    </xf>
    <xf numFmtId="0" fontId="36" fillId="23" borderId="35" xfId="0" applyFont="1" applyFill="1" applyBorder="1" applyAlignment="1">
      <alignment horizontal="center" readingOrder="2"/>
    </xf>
    <xf numFmtId="0" fontId="41" fillId="23" borderId="36" xfId="0" applyFont="1" applyFill="1" applyBorder="1" applyAlignment="1">
      <alignment horizontal="center"/>
    </xf>
    <xf numFmtId="0" fontId="42" fillId="23" borderId="35" xfId="0" applyFont="1" applyFill="1" applyBorder="1" applyAlignment="1">
      <alignment horizontal="center"/>
    </xf>
    <xf numFmtId="0" fontId="36" fillId="11" borderId="37" xfId="0" applyFont="1" applyFill="1" applyBorder="1" applyAlignment="1">
      <alignment horizontal="center" readingOrder="2"/>
    </xf>
    <xf numFmtId="0" fontId="41" fillId="11" borderId="38" xfId="0" applyFont="1" applyFill="1" applyBorder="1" applyAlignment="1">
      <alignment horizontal="center"/>
    </xf>
    <xf numFmtId="0" fontId="42" fillId="11" borderId="37" xfId="0" applyFont="1" applyFill="1" applyBorder="1" applyAlignment="1">
      <alignment horizontal="center" readingOrder="2"/>
    </xf>
    <xf numFmtId="0" fontId="39" fillId="24" borderId="0" xfId="0" applyFont="1" applyFill="1" applyAlignment="1">
      <alignment horizontal="center"/>
    </xf>
    <xf numFmtId="0" fontId="28" fillId="24" borderId="0" xfId="0" applyFont="1" applyFill="1" applyAlignment="1">
      <alignment horizontal="right" readingOrder="2"/>
    </xf>
    <xf numFmtId="0" fontId="28" fillId="24" borderId="0" xfId="0" applyFont="1" applyFill="1" applyAlignment="1">
      <alignment horizontal="right"/>
    </xf>
    <xf numFmtId="0" fontId="25" fillId="24" borderId="0" xfId="0" applyFont="1" applyFill="1" applyAlignment="1">
      <alignment horizontal="right"/>
    </xf>
    <xf numFmtId="0" fontId="43" fillId="11" borderId="0" xfId="0" applyFont="1" applyFill="1" applyAlignment="1">
      <alignment horizontal="center" readingOrder="2"/>
    </xf>
    <xf numFmtId="0" fontId="44" fillId="22" borderId="0" xfId="0" applyFont="1" applyFill="1" applyAlignment="1">
      <alignment horizontal="center" readingOrder="2"/>
    </xf>
    <xf numFmtId="0" fontId="0" fillId="22" borderId="0" xfId="0" applyFill="1"/>
    <xf numFmtId="0" fontId="33" fillId="11" borderId="0" xfId="0" applyFont="1" applyFill="1" applyAlignment="1">
      <alignment horizontal="right" readingOrder="2"/>
    </xf>
    <xf numFmtId="0" fontId="45" fillId="25" borderId="0" xfId="0" applyFont="1" applyFill="1" applyAlignment="1">
      <alignment horizontal="right"/>
    </xf>
    <xf numFmtId="165" fontId="46" fillId="25" borderId="0" xfId="0" applyNumberFormat="1" applyFont="1" applyFill="1" applyAlignment="1">
      <alignment horizontal="center"/>
    </xf>
    <xf numFmtId="0" fontId="47" fillId="25" borderId="0" xfId="0" applyFont="1" applyFill="1" applyAlignment="1">
      <alignment horizontal="right"/>
    </xf>
    <xf numFmtId="0" fontId="48" fillId="6" borderId="0" xfId="0" applyFont="1" applyFill="1" applyAlignment="1">
      <alignment horizontal="center"/>
    </xf>
    <xf numFmtId="0" fontId="0" fillId="25" borderId="0" xfId="0" applyFill="1"/>
    <xf numFmtId="0" fontId="52" fillId="15" borderId="39" xfId="0" applyFont="1" applyFill="1" applyBorder="1" applyAlignment="1">
      <alignment horizontal="center"/>
    </xf>
    <xf numFmtId="165" fontId="53" fillId="25" borderId="0" xfId="0" applyNumberFormat="1" applyFont="1" applyFill="1" applyAlignment="1">
      <alignment horizontal="center"/>
    </xf>
    <xf numFmtId="0" fontId="53" fillId="25" borderId="0" xfId="0" applyFont="1" applyFill="1" applyAlignment="1">
      <alignment horizontal="center"/>
    </xf>
    <xf numFmtId="0" fontId="1" fillId="3" borderId="40" xfId="0" applyFont="1" applyFill="1" applyBorder="1" applyAlignment="1">
      <alignment horizontal="right"/>
    </xf>
    <xf numFmtId="0" fontId="54" fillId="25" borderId="41" xfId="0" applyFont="1" applyFill="1" applyBorder="1" applyAlignment="1">
      <alignment horizontal="right"/>
    </xf>
    <xf numFmtId="166" fontId="0" fillId="3" borderId="42" xfId="0" applyNumberFormat="1" applyFill="1" applyBorder="1" applyAlignment="1">
      <alignment horizontal="center"/>
    </xf>
    <xf numFmtId="1" fontId="54" fillId="25" borderId="23" xfId="0" applyNumberFormat="1" applyFont="1" applyFill="1" applyBorder="1" applyAlignment="1">
      <alignment horizontal="center"/>
    </xf>
    <xf numFmtId="0" fontId="55" fillId="11" borderId="0" xfId="0" applyFont="1" applyFill="1" applyAlignment="1">
      <alignment horizontal="right" readingOrder="2"/>
    </xf>
    <xf numFmtId="0" fontId="56" fillId="11" borderId="0" xfId="0" applyFont="1" applyFill="1" applyAlignment="1">
      <alignment horizontal="right" readingOrder="2"/>
    </xf>
    <xf numFmtId="0" fontId="13" fillId="6" borderId="0" xfId="0" applyFont="1" applyFill="1" applyAlignment="1">
      <alignment horizontal="center"/>
    </xf>
    <xf numFmtId="0" fontId="0" fillId="0" borderId="0" xfId="0"/>
    <xf numFmtId="0" fontId="58" fillId="3" borderId="43" xfId="0" applyFont="1" applyFill="1" applyBorder="1" applyAlignment="1">
      <alignment horizontal="right"/>
    </xf>
    <xf numFmtId="1" fontId="46" fillId="3" borderId="43" xfId="0" applyNumberFormat="1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5" borderId="45" xfId="0" applyFont="1" applyFill="1" applyBorder="1" applyAlignment="1">
      <alignment horizontal="center"/>
    </xf>
    <xf numFmtId="2" fontId="57" fillId="27" borderId="46" xfId="0" applyNumberFormat="1" applyFont="1" applyFill="1" applyBorder="1" applyAlignment="1">
      <alignment horizontal="center"/>
    </xf>
    <xf numFmtId="2" fontId="0" fillId="10" borderId="47" xfId="0" applyNumberFormat="1" applyFill="1" applyBorder="1" applyAlignment="1">
      <alignment horizontal="center"/>
    </xf>
    <xf numFmtId="2" fontId="57" fillId="12" borderId="48" xfId="0" applyNumberFormat="1" applyFont="1" applyFill="1" applyBorder="1" applyAlignment="1">
      <alignment horizontal="center"/>
    </xf>
    <xf numFmtId="2" fontId="57" fillId="13" borderId="1" xfId="0" applyNumberFormat="1" applyFont="1" applyFill="1" applyBorder="1" applyAlignment="1">
      <alignment horizontal="center"/>
    </xf>
    <xf numFmtId="2" fontId="57" fillId="14" borderId="1" xfId="0" applyNumberFormat="1" applyFont="1" applyFill="1" applyBorder="1" applyAlignment="1">
      <alignment horizontal="center"/>
    </xf>
    <xf numFmtId="0" fontId="53" fillId="26" borderId="13" xfId="0" applyFont="1" applyFill="1" applyBorder="1" applyAlignment="1">
      <alignment horizontal="center"/>
    </xf>
    <xf numFmtId="2" fontId="61" fillId="2" borderId="46" xfId="0" applyNumberFormat="1" applyFont="1" applyFill="1" applyBorder="1" applyAlignment="1">
      <alignment horizontal="center"/>
    </xf>
    <xf numFmtId="2" fontId="61" fillId="2" borderId="48" xfId="0" applyNumberFormat="1" applyFont="1" applyFill="1" applyBorder="1" applyAlignment="1">
      <alignment horizontal="center"/>
    </xf>
    <xf numFmtId="2" fontId="61" fillId="2" borderId="1" xfId="0" applyNumberFormat="1" applyFont="1" applyFill="1" applyBorder="1" applyAlignment="1">
      <alignment horizontal="center"/>
    </xf>
    <xf numFmtId="0" fontId="57" fillId="10" borderId="0" xfId="0" applyFont="1" applyFill="1" applyAlignment="1">
      <alignment horizontal="center"/>
    </xf>
    <xf numFmtId="0" fontId="52" fillId="2" borderId="49" xfId="0" applyFont="1" applyFill="1" applyBorder="1" applyAlignment="1">
      <alignment horizontal="center" wrapText="1"/>
    </xf>
    <xf numFmtId="0" fontId="62" fillId="3" borderId="2" xfId="0" applyFont="1" applyFill="1" applyBorder="1" applyAlignment="1">
      <alignment horizontal="right" wrapText="1"/>
    </xf>
    <xf numFmtId="0" fontId="49" fillId="7" borderId="0" xfId="0" applyFont="1" applyFill="1" applyAlignment="1">
      <alignment horizontal="right" readingOrder="2"/>
    </xf>
    <xf numFmtId="0" fontId="0" fillId="7" borderId="0" xfId="0" applyFill="1" applyAlignment="1">
      <alignment readingOrder="2"/>
    </xf>
    <xf numFmtId="0" fontId="51" fillId="25" borderId="0" xfId="0" applyFont="1" applyFill="1" applyAlignment="1">
      <alignment horizontal="right" readingOrder="2"/>
    </xf>
    <xf numFmtId="0" fontId="0" fillId="25" borderId="0" xfId="0" applyFill="1" applyAlignment="1">
      <alignment readingOrder="2"/>
    </xf>
    <xf numFmtId="0" fontId="50" fillId="25" borderId="0" xfId="0" applyFont="1" applyFill="1" applyAlignment="1">
      <alignment horizontal="right" readingOrder="2"/>
    </xf>
    <xf numFmtId="0" fontId="49" fillId="7" borderId="2" xfId="0" applyFont="1" applyFill="1" applyBorder="1" applyAlignment="1">
      <alignment horizontal="right" readingOrder="2"/>
    </xf>
    <xf numFmtId="2" fontId="63" fillId="3" borderId="5" xfId="0" applyNumberFormat="1" applyFont="1" applyFill="1" applyBorder="1" applyAlignment="1">
      <alignment horizontal="center"/>
    </xf>
    <xf numFmtId="2" fontId="57" fillId="4" borderId="22" xfId="0" applyNumberFormat="1" applyFont="1" applyFill="1" applyBorder="1" applyAlignment="1">
      <alignment horizontal="center"/>
    </xf>
    <xf numFmtId="2" fontId="57" fillId="3" borderId="22" xfId="0" applyNumberFormat="1" applyFont="1" applyFill="1" applyBorder="1" applyAlignment="1">
      <alignment horizontal="center"/>
    </xf>
  </cellXfs>
  <cellStyles count="2">
    <cellStyle name="Normal" xfId="0" builtinId="0"/>
    <cellStyle name="היפר-קישור" xfId="1" builtinId="8"/>
  </cellStyles>
  <dxfs count="18">
    <dxf>
      <font>
        <color rgb="FF666666"/>
      </font>
      <fill>
        <patternFill patternType="solid">
          <fgColor indexed="64"/>
          <bgColor rgb="FFF3E5F5"/>
        </patternFill>
      </fill>
    </dxf>
    <dxf>
      <font>
        <b/>
        <i val="0"/>
        <color rgb="FFFFFFFF"/>
      </font>
      <fill>
        <patternFill patternType="solid">
          <fgColor indexed="64"/>
          <bgColor rgb="FF7B2D8E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ont>
        <b val="0"/>
        <i/>
        <color rgb="FF666666"/>
      </font>
      <fill>
        <patternFill patternType="solid">
          <fgColor indexed="64"/>
          <bgColor rgb="FFE8E8E8"/>
        </patternFill>
      </fill>
    </dxf>
    <dxf>
      <font>
        <color rgb="FF856404"/>
      </font>
      <fill>
        <patternFill patternType="solid">
          <fgColor indexed="64"/>
          <bgColor rgb="FFFFF3CD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E8E8E8"/>
        </patternFill>
      </fill>
    </dxf>
    <dxf>
      <font>
        <color rgb="FF856404"/>
      </font>
      <fill>
        <patternFill patternType="solid">
          <fgColor indexed="64"/>
          <bgColor rgb="FFFFF3CD"/>
        </patternFill>
      </fill>
    </dxf>
    <dxf>
      <font>
        <b/>
        <i val="0"/>
        <color rgb="FFFFFFFF"/>
      </font>
      <fill>
        <patternFill patternType="solid">
          <fgColor indexed="64"/>
          <bgColor rgb="FFFF0000"/>
        </patternFill>
      </fill>
    </dxf>
    <dxf>
      <font>
        <b val="0"/>
        <i val="0"/>
        <color rgb="FF000000"/>
      </font>
      <fill>
        <patternFill patternType="solid">
          <fgColor indexed="64"/>
          <bgColor rgb="FFE8E8E8"/>
        </patternFill>
      </fill>
    </dxf>
    <dxf>
      <fill>
        <patternFill patternType="solid">
          <fgColor indexed="64"/>
          <bgColor rgb="FFFFF2CC"/>
        </patternFill>
      </fill>
    </dxf>
    <dxf>
      <font>
        <b val="0"/>
        <i/>
        <color rgb="FF666666"/>
      </font>
      <fill>
        <patternFill patternType="solid">
          <fgColor indexed="64"/>
          <bgColor rgb="FFE8E8E8"/>
        </patternFill>
      </fill>
    </dxf>
    <dxf>
      <font>
        <b/>
        <i val="0"/>
        <color rgb="FFBF8F00"/>
      </font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E8E8E8"/>
        </patternFill>
      </fill>
    </dxf>
    <dxf>
      <fill>
        <patternFill patternType="solid">
          <fgColor indexed="64"/>
          <bgColor rgb="FFF5F5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 שעות עבודה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'לוח בקרה'!$G$3</c:f>
              <c:strCache>
                <c:ptCount val="1"/>
                <c:pt idx="0">
                  <c:v>שעות</c:v>
                </c:pt>
              </c:strCache>
            </c:strRef>
          </c:tx>
          <c:spPr>
            <a:solidFill>
              <a:srgbClr val="2E75B6"/>
            </a:solidFill>
          </c:spPr>
          <c:dPt>
            <c:idx val="0"/>
            <c:bubble3D val="0"/>
            <c:spPr>
              <a:solidFill>
                <a:srgbClr val="2E75B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D1-4900-A6BF-91ABCF6E2A43}"/>
              </c:ext>
            </c:extLst>
          </c:dPt>
          <c:dPt>
            <c:idx val="1"/>
            <c:bubble3D val="0"/>
            <c:spPr>
              <a:solidFill>
                <a:srgbClr val="BF8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0D1-4900-A6BF-91ABCF6E2A43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D1-4900-A6BF-91ABCF6E2A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'לוח בקרה'!$F$4:$F$6</c:f>
              <c:strCache>
                <c:ptCount val="3"/>
                <c:pt idx="0">
                  <c:v>רגילות (100%)</c:v>
                </c:pt>
                <c:pt idx="1">
                  <c:v>נוספות (125%)</c:v>
                </c:pt>
                <c:pt idx="2">
                  <c:v>נוספות (150%)</c:v>
                </c:pt>
              </c:strCache>
            </c:strRef>
          </c:cat>
          <c:val>
            <c:numRef>
              <c:f>'לוח בקרה'!$G$4:$G$6</c:f>
              <c:numCache>
                <c:formatCode>0.00</c:formatCode>
                <c:ptCount val="3"/>
                <c:pt idx="0">
                  <c:v>31.1</c:v>
                </c:pt>
                <c:pt idx="1">
                  <c:v>3.75</c:v>
                </c:pt>
                <c:pt idx="2">
                  <c:v>14.883333333333333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1-4900-A6BF-91ABCF6E2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שעות עבודה בפועל מול תקן - חודשי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'לוח בקרה'!$B$20</c:f>
              <c:strCache>
                <c:ptCount val="1"/>
                <c:pt idx="0">
                  <c:v>שעות בפועל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/>
          </c:spPr>
          <c:invertIfNegative val="0"/>
          <c:cat>
            <c:strRef>
              <c:f>'לוח בקרה'!$A$21:$A$51</c:f>
              <c:strCache>
                <c:ptCount val="31"/>
                <c:pt idx="0">
                  <c:v>01/01</c:v>
                </c:pt>
                <c:pt idx="1">
                  <c:v>02/01</c:v>
                </c:pt>
                <c:pt idx="2">
                  <c:v>03/01</c:v>
                </c:pt>
                <c:pt idx="3">
                  <c:v>04/01</c:v>
                </c:pt>
                <c:pt idx="4">
                  <c:v>05/01</c:v>
                </c:pt>
                <c:pt idx="5">
                  <c:v>06/01</c:v>
                </c:pt>
                <c:pt idx="6">
                  <c:v>07/01</c:v>
                </c:pt>
                <c:pt idx="7">
                  <c:v>08/01</c:v>
                </c:pt>
                <c:pt idx="8">
                  <c:v>09/01</c:v>
                </c:pt>
                <c:pt idx="9">
                  <c:v>10/01</c:v>
                </c:pt>
                <c:pt idx="10">
                  <c:v>11/01</c:v>
                </c:pt>
                <c:pt idx="11">
                  <c:v>12/01</c:v>
                </c:pt>
                <c:pt idx="12">
                  <c:v>13/01</c:v>
                </c:pt>
                <c:pt idx="13">
                  <c:v>14/01</c:v>
                </c:pt>
                <c:pt idx="14">
                  <c:v>15/01</c:v>
                </c:pt>
                <c:pt idx="15">
                  <c:v>16/01</c:v>
                </c:pt>
                <c:pt idx="16">
                  <c:v>17/01</c:v>
                </c:pt>
                <c:pt idx="17">
                  <c:v>18/01</c:v>
                </c:pt>
                <c:pt idx="18">
                  <c:v>19/01</c:v>
                </c:pt>
                <c:pt idx="19">
                  <c:v>20/01</c:v>
                </c:pt>
                <c:pt idx="20">
                  <c:v>21/01</c:v>
                </c:pt>
                <c:pt idx="21">
                  <c:v>22/01</c:v>
                </c:pt>
                <c:pt idx="22">
                  <c:v>23/01</c:v>
                </c:pt>
                <c:pt idx="23">
                  <c:v>24/01</c:v>
                </c:pt>
                <c:pt idx="24">
                  <c:v>25/01</c:v>
                </c:pt>
                <c:pt idx="25">
                  <c:v>26/01</c:v>
                </c:pt>
                <c:pt idx="26">
                  <c:v>27/01</c:v>
                </c:pt>
                <c:pt idx="27">
                  <c:v>28/01</c:v>
                </c:pt>
                <c:pt idx="28">
                  <c:v>29/01</c:v>
                </c:pt>
                <c:pt idx="29">
                  <c:v>30/01</c:v>
                </c:pt>
                <c:pt idx="30">
                  <c:v>31/01</c:v>
                </c:pt>
              </c:strCache>
            </c:strRef>
          </c:cat>
          <c:val>
            <c:numRef>
              <c:f>'לוח בקרה'!$B$21:$B$51</c:f>
              <c:numCache>
                <c:formatCode>0.00</c:formatCode>
                <c:ptCount val="31"/>
                <c:pt idx="0">
                  <c:v>11</c:v>
                </c:pt>
                <c:pt idx="1">
                  <c:v>8</c:v>
                </c:pt>
                <c:pt idx="2">
                  <c:v>8.9999999999999982</c:v>
                </c:pt>
                <c:pt idx="3">
                  <c:v>9.5</c:v>
                </c:pt>
                <c:pt idx="4">
                  <c:v>15.983333333333333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C-4065-A076-73045B194763}"/>
            </c:ext>
          </c:extLst>
        </c:ser>
        <c:ser>
          <c:idx val="1"/>
          <c:order val="1"/>
          <c:tx>
            <c:strRef>
              <c:f>'לוח בקרה'!$C$20</c:f>
              <c:strCache>
                <c:ptCount val="1"/>
                <c:pt idx="0">
                  <c:v>תקן (שעות יום עבודה)</c:v>
                </c:pt>
              </c:strCache>
            </c:strRef>
          </c:tx>
          <c:spPr>
            <a:solidFill>
              <a:srgbClr val="E8E8E8"/>
            </a:solidFill>
            <a:ln>
              <a:solidFill>
                <a:srgbClr val="BF8F00"/>
              </a:solidFill>
              <a:prstDash val="solid"/>
            </a:ln>
            <a:effectLst/>
          </c:spPr>
          <c:invertIfNegative val="0"/>
          <c:cat>
            <c:strRef>
              <c:f>'לוח בקרה'!$A$21:$A$51</c:f>
              <c:strCache>
                <c:ptCount val="31"/>
                <c:pt idx="0">
                  <c:v>01/01</c:v>
                </c:pt>
                <c:pt idx="1">
                  <c:v>02/01</c:v>
                </c:pt>
                <c:pt idx="2">
                  <c:v>03/01</c:v>
                </c:pt>
                <c:pt idx="3">
                  <c:v>04/01</c:v>
                </c:pt>
                <c:pt idx="4">
                  <c:v>05/01</c:v>
                </c:pt>
                <c:pt idx="5">
                  <c:v>06/01</c:v>
                </c:pt>
                <c:pt idx="6">
                  <c:v>07/01</c:v>
                </c:pt>
                <c:pt idx="7">
                  <c:v>08/01</c:v>
                </c:pt>
                <c:pt idx="8">
                  <c:v>09/01</c:v>
                </c:pt>
                <c:pt idx="9">
                  <c:v>10/01</c:v>
                </c:pt>
                <c:pt idx="10">
                  <c:v>11/01</c:v>
                </c:pt>
                <c:pt idx="11">
                  <c:v>12/01</c:v>
                </c:pt>
                <c:pt idx="12">
                  <c:v>13/01</c:v>
                </c:pt>
                <c:pt idx="13">
                  <c:v>14/01</c:v>
                </c:pt>
                <c:pt idx="14">
                  <c:v>15/01</c:v>
                </c:pt>
                <c:pt idx="15">
                  <c:v>16/01</c:v>
                </c:pt>
                <c:pt idx="16">
                  <c:v>17/01</c:v>
                </c:pt>
                <c:pt idx="17">
                  <c:v>18/01</c:v>
                </c:pt>
                <c:pt idx="18">
                  <c:v>19/01</c:v>
                </c:pt>
                <c:pt idx="19">
                  <c:v>20/01</c:v>
                </c:pt>
                <c:pt idx="20">
                  <c:v>21/01</c:v>
                </c:pt>
                <c:pt idx="21">
                  <c:v>22/01</c:v>
                </c:pt>
                <c:pt idx="22">
                  <c:v>23/01</c:v>
                </c:pt>
                <c:pt idx="23">
                  <c:v>24/01</c:v>
                </c:pt>
                <c:pt idx="24">
                  <c:v>25/01</c:v>
                </c:pt>
                <c:pt idx="25">
                  <c:v>26/01</c:v>
                </c:pt>
                <c:pt idx="26">
                  <c:v>27/01</c:v>
                </c:pt>
                <c:pt idx="27">
                  <c:v>28/01</c:v>
                </c:pt>
                <c:pt idx="28">
                  <c:v>29/01</c:v>
                </c:pt>
                <c:pt idx="29">
                  <c:v>30/01</c:v>
                </c:pt>
                <c:pt idx="30">
                  <c:v>31/01</c:v>
                </c:pt>
              </c:strCache>
            </c:strRef>
          </c:cat>
          <c:val>
            <c:numRef>
              <c:f>'לוח בקרה'!$C$21:$C$51</c:f>
              <c:numCache>
                <c:formatCode>0.00</c:formatCode>
                <c:ptCount val="31"/>
                <c:pt idx="0">
                  <c:v>8.6</c:v>
                </c:pt>
                <c:pt idx="1">
                  <c:v>8.6</c:v>
                </c:pt>
                <c:pt idx="2">
                  <c:v>8.6</c:v>
                </c:pt>
                <c:pt idx="3">
                  <c:v>7</c:v>
                </c:pt>
                <c:pt idx="4">
                  <c:v>8.6</c:v>
                </c:pt>
                <c:pt idx="5">
                  <c:v>8.6</c:v>
                </c:pt>
                <c:pt idx="6">
                  <c:v>8.6</c:v>
                </c:pt>
                <c:pt idx="7">
                  <c:v>8.6</c:v>
                </c:pt>
                <c:pt idx="8">
                  <c:v>8.6</c:v>
                </c:pt>
                <c:pt idx="9">
                  <c:v>8.6</c:v>
                </c:pt>
                <c:pt idx="10">
                  <c:v>8.6</c:v>
                </c:pt>
                <c:pt idx="11">
                  <c:v>8.6</c:v>
                </c:pt>
                <c:pt idx="12">
                  <c:v>8.6</c:v>
                </c:pt>
                <c:pt idx="13">
                  <c:v>8.6</c:v>
                </c:pt>
                <c:pt idx="14">
                  <c:v>8.6</c:v>
                </c:pt>
                <c:pt idx="15">
                  <c:v>8.6</c:v>
                </c:pt>
                <c:pt idx="16">
                  <c:v>8.6</c:v>
                </c:pt>
                <c:pt idx="17">
                  <c:v>8.6</c:v>
                </c:pt>
                <c:pt idx="18">
                  <c:v>8.6</c:v>
                </c:pt>
                <c:pt idx="19">
                  <c:v>8.6</c:v>
                </c:pt>
                <c:pt idx="20">
                  <c:v>8.6</c:v>
                </c:pt>
                <c:pt idx="21">
                  <c:v>8.6</c:v>
                </c:pt>
                <c:pt idx="22">
                  <c:v>8.6</c:v>
                </c:pt>
                <c:pt idx="23">
                  <c:v>8.6</c:v>
                </c:pt>
                <c:pt idx="24">
                  <c:v>8.6</c:v>
                </c:pt>
                <c:pt idx="25">
                  <c:v>8.6</c:v>
                </c:pt>
                <c:pt idx="26">
                  <c:v>8.6</c:v>
                </c:pt>
                <c:pt idx="27">
                  <c:v>8.6</c:v>
                </c:pt>
                <c:pt idx="28">
                  <c:v>8.6</c:v>
                </c:pt>
                <c:pt idx="29">
                  <c:v>8.6</c:v>
                </c:pt>
                <c:pt idx="30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C-4065-A076-73045B194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931792"/>
        <c:axId val="2094931312"/>
      </c:barChart>
      <c:catAx>
        <c:axId val="20949317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094931312"/>
        <c:crosses val="autoZero"/>
        <c:auto val="1"/>
        <c:lblAlgn val="ctr"/>
        <c:lblOffset val="100"/>
        <c:noMultiLvlLbl val="0"/>
      </c:catAx>
      <c:valAx>
        <c:axId val="2094931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09493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114776</xdr:colOff>
      <xdr:row>7</xdr:row>
      <xdr:rowOff>26669</xdr:rowOff>
    </xdr:from>
    <xdr:to>
      <xdr:col>10</xdr:col>
      <xdr:colOff>67786</xdr:colOff>
      <xdr:row>27</xdr:row>
      <xdr:rowOff>46989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30E99BF0-9F43-F716-4609-D9CFB75FDA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267335</xdr:colOff>
      <xdr:row>28</xdr:row>
      <xdr:rowOff>9525</xdr:rowOff>
    </xdr:from>
    <xdr:to>
      <xdr:col>11</xdr:col>
      <xdr:colOff>434975</xdr:colOff>
      <xdr:row>51</xdr:row>
      <xdr:rowOff>122555</xdr:rowOff>
    </xdr:to>
    <xdr:graphicFrame macro="">
      <xdr:nvGraphicFramePr>
        <xdr:cNvPr id="3" name="תרשים 2">
          <a:extLst>
            <a:ext uri="{FF2B5EF4-FFF2-40B4-BE49-F238E27FC236}">
              <a16:creationId xmlns:a16="http://schemas.microsoft.com/office/drawing/2014/main" id="{BAB98ADF-B218-DA40-0844-6D0A7FF7AA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wnload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ABB9E6-BAB8-49C9-B227-E3E660938076}">
  <we:reference id="wa200009404" version="1.0.0.8" store="he-IL" storeType="OMEX"/>
  <we:alternateReferences>
    <we:reference id="wa200009404" version="1.0.0.8" store="wa200009404" storeType="OMEX"/>
  </we:alternateReferences>
  <we:properties>
    <we:property name="Office.AutoShowTaskpaneWithDocument" value="true"/>
    <we:property name="claude.fileId" value="&quot;d590a46d-fe6d-4a73-92a5-23dd8b8be9f0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89B1-2B56-4F39-99CD-8815E58013F9}">
  <dimension ref="A1:H112"/>
  <sheetViews>
    <sheetView showGridLines="0" rightToLeft="1" tabSelected="1" workbookViewId="0">
      <selection activeCell="B69" sqref="B69"/>
    </sheetView>
  </sheetViews>
  <sheetFormatPr defaultRowHeight="14.25" x14ac:dyDescent="0.2"/>
  <cols>
    <col min="1" max="1" width="3.25" customWidth="1"/>
    <col min="2" max="2" width="37.125" customWidth="1"/>
    <col min="3" max="3" width="33.25" customWidth="1"/>
    <col min="4" max="4" width="2.5" customWidth="1"/>
    <col min="5" max="5" width="33.25" customWidth="1"/>
    <col min="6" max="6" width="2.5" customWidth="1"/>
    <col min="7" max="7" width="33.25" customWidth="1"/>
    <col min="8" max="8" width="3.25" customWidth="1"/>
  </cols>
  <sheetData>
    <row r="1" spans="1:8" ht="10.15" customHeight="1" x14ac:dyDescent="0.2">
      <c r="A1" s="87"/>
      <c r="B1" s="87"/>
      <c r="C1" s="87"/>
      <c r="D1" s="87"/>
      <c r="E1" s="87"/>
      <c r="F1" s="87"/>
      <c r="G1" s="87"/>
      <c r="H1" s="87"/>
    </row>
    <row r="2" spans="1:8" ht="40.15" customHeight="1" x14ac:dyDescent="0.5">
      <c r="A2" s="87"/>
      <c r="B2" s="88" t="s">
        <v>63</v>
      </c>
      <c r="C2" s="87"/>
      <c r="D2" s="87"/>
      <c r="E2" s="87"/>
      <c r="F2" s="87"/>
      <c r="G2" s="89" t="s">
        <v>64</v>
      </c>
      <c r="H2" s="87"/>
    </row>
    <row r="3" spans="1:8" ht="22.15" customHeight="1" x14ac:dyDescent="0.25">
      <c r="A3" s="87"/>
      <c r="B3" s="90" t="s">
        <v>65</v>
      </c>
      <c r="C3" s="87"/>
      <c r="D3" s="87"/>
      <c r="E3" s="87"/>
      <c r="F3" s="87"/>
      <c r="G3" s="87"/>
      <c r="H3" s="87"/>
    </row>
    <row r="4" spans="1:8" ht="4.1500000000000004" customHeight="1" thickBot="1" x14ac:dyDescent="0.25">
      <c r="A4" s="87"/>
      <c r="B4" s="91"/>
      <c r="C4" s="91"/>
      <c r="D4" s="91"/>
      <c r="E4" s="91"/>
      <c r="F4" s="91"/>
      <c r="G4" s="91"/>
      <c r="H4" s="87"/>
    </row>
    <row r="5" spans="1:8" ht="10.15" customHeight="1" x14ac:dyDescent="0.2">
      <c r="A5" s="87"/>
      <c r="B5" s="87"/>
      <c r="C5" s="87"/>
      <c r="D5" s="87"/>
      <c r="E5" s="87"/>
      <c r="F5" s="87"/>
      <c r="G5" s="87"/>
      <c r="H5" s="87"/>
    </row>
    <row r="6" spans="1:8" ht="20.25" x14ac:dyDescent="0.3">
      <c r="A6" s="87"/>
      <c r="B6" s="92" t="s">
        <v>66</v>
      </c>
      <c r="C6" s="87"/>
      <c r="D6" s="87"/>
      <c r="E6" s="87"/>
      <c r="F6" s="87"/>
      <c r="G6" s="87"/>
      <c r="H6" s="87"/>
    </row>
    <row r="7" spans="1:8" ht="10.15" customHeight="1" x14ac:dyDescent="0.2">
      <c r="A7" s="87"/>
      <c r="B7" s="87"/>
      <c r="C7" s="87"/>
      <c r="D7" s="87"/>
      <c r="E7" s="87"/>
      <c r="F7" s="87"/>
      <c r="G7" s="87"/>
      <c r="H7" s="87"/>
    </row>
    <row r="8" spans="1:8" x14ac:dyDescent="0.2">
      <c r="A8" s="87"/>
      <c r="B8" s="93" t="s">
        <v>67</v>
      </c>
      <c r="C8" s="87"/>
      <c r="D8" s="87"/>
      <c r="E8" s="87"/>
      <c r="F8" s="87"/>
      <c r="G8" s="87"/>
      <c r="H8" s="87"/>
    </row>
    <row r="9" spans="1:8" x14ac:dyDescent="0.2">
      <c r="A9" s="87"/>
      <c r="B9" s="93" t="s">
        <v>68</v>
      </c>
      <c r="C9" s="87"/>
      <c r="D9" s="87"/>
      <c r="E9" s="87"/>
      <c r="F9" s="87"/>
      <c r="G9" s="87"/>
      <c r="H9" s="87"/>
    </row>
    <row r="10" spans="1:8" ht="10.15" customHeight="1" x14ac:dyDescent="0.2">
      <c r="A10" s="87"/>
      <c r="B10" s="87"/>
      <c r="C10" s="87"/>
      <c r="D10" s="87"/>
      <c r="E10" s="87"/>
      <c r="F10" s="87"/>
      <c r="G10" s="87"/>
      <c r="H10" s="87"/>
    </row>
    <row r="11" spans="1:8" ht="31.9" customHeight="1" x14ac:dyDescent="0.3">
      <c r="A11" s="87"/>
      <c r="B11" s="94" t="s">
        <v>69</v>
      </c>
      <c r="C11" s="95"/>
      <c r="D11" s="95"/>
      <c r="E11" s="95"/>
      <c r="F11" s="95"/>
      <c r="G11" s="95"/>
      <c r="H11" s="87"/>
    </row>
    <row r="12" spans="1:8" ht="10.15" customHeight="1" thickBot="1" x14ac:dyDescent="0.25">
      <c r="A12" s="87"/>
      <c r="B12" s="87"/>
      <c r="C12" s="87"/>
      <c r="D12" s="87"/>
      <c r="E12" s="87"/>
      <c r="F12" s="87"/>
      <c r="G12" s="87"/>
      <c r="H12" s="87"/>
    </row>
    <row r="13" spans="1:8" ht="15.75" x14ac:dyDescent="0.25">
      <c r="A13" s="87"/>
      <c r="B13" s="96" t="s">
        <v>70</v>
      </c>
      <c r="C13" s="97" t="s">
        <v>71</v>
      </c>
      <c r="D13" s="98"/>
      <c r="E13" s="96" t="s">
        <v>72</v>
      </c>
      <c r="F13" s="98"/>
      <c r="G13" s="96" t="s">
        <v>73</v>
      </c>
      <c r="H13" s="87"/>
    </row>
    <row r="14" spans="1:8" ht="15" thickBot="1" x14ac:dyDescent="0.25">
      <c r="A14" s="87"/>
      <c r="B14" s="99" t="s">
        <v>74</v>
      </c>
      <c r="C14" s="100" t="s">
        <v>75</v>
      </c>
      <c r="D14" s="98"/>
      <c r="E14" s="99" t="s">
        <v>76</v>
      </c>
      <c r="F14" s="98"/>
      <c r="G14" s="99" t="s">
        <v>77</v>
      </c>
      <c r="H14" s="87"/>
    </row>
    <row r="15" spans="1:8" ht="10.15" customHeight="1" x14ac:dyDescent="0.2">
      <c r="A15" s="87"/>
      <c r="H15" s="87"/>
    </row>
    <row r="16" spans="1:8" ht="31.9" customHeight="1" x14ac:dyDescent="0.3">
      <c r="A16" s="87"/>
      <c r="B16" s="101" t="s">
        <v>78</v>
      </c>
      <c r="C16" s="95"/>
      <c r="D16" s="95"/>
      <c r="E16" s="95"/>
      <c r="F16" s="95"/>
      <c r="G16" s="102" t="s">
        <v>64</v>
      </c>
      <c r="H16" s="87"/>
    </row>
    <row r="17" spans="1:8" ht="10.15" customHeight="1" x14ac:dyDescent="0.2">
      <c r="A17" s="87"/>
      <c r="B17" s="87"/>
      <c r="C17" s="87"/>
      <c r="D17" s="87"/>
      <c r="E17" s="87"/>
      <c r="F17" s="87"/>
      <c r="G17" s="87"/>
      <c r="H17" s="87"/>
    </row>
    <row r="18" spans="1:8" ht="18" x14ac:dyDescent="0.25">
      <c r="A18" s="87"/>
      <c r="B18" s="103" t="s">
        <v>79</v>
      </c>
      <c r="C18" s="104" t="s">
        <v>80</v>
      </c>
      <c r="D18" s="87"/>
      <c r="E18" s="103" t="s">
        <v>79</v>
      </c>
      <c r="F18" s="87"/>
      <c r="G18" s="104" t="s">
        <v>81</v>
      </c>
      <c r="H18" s="87"/>
    </row>
    <row r="19" spans="1:8" x14ac:dyDescent="0.2">
      <c r="A19" s="87"/>
      <c r="B19" s="87"/>
      <c r="C19" s="105" t="s">
        <v>82</v>
      </c>
      <c r="D19" s="87"/>
      <c r="E19" s="87"/>
      <c r="F19" s="87"/>
      <c r="G19" s="105" t="s">
        <v>83</v>
      </c>
      <c r="H19" s="87"/>
    </row>
    <row r="20" spans="1:8" ht="18" x14ac:dyDescent="0.25">
      <c r="A20" s="87"/>
      <c r="B20" s="103" t="s">
        <v>79</v>
      </c>
      <c r="C20" s="104" t="s">
        <v>84</v>
      </c>
      <c r="D20" s="87"/>
      <c r="E20" s="103" t="s">
        <v>79</v>
      </c>
      <c r="F20" s="87"/>
      <c r="G20" s="104" t="s">
        <v>85</v>
      </c>
      <c r="H20" s="87"/>
    </row>
    <row r="21" spans="1:8" x14ac:dyDescent="0.2">
      <c r="A21" s="87"/>
      <c r="B21" s="87"/>
      <c r="C21" s="105" t="s">
        <v>86</v>
      </c>
      <c r="D21" s="87"/>
      <c r="E21" s="87"/>
      <c r="F21" s="87"/>
      <c r="G21" s="105" t="s">
        <v>87</v>
      </c>
      <c r="H21" s="87"/>
    </row>
    <row r="22" spans="1:8" ht="18" x14ac:dyDescent="0.25">
      <c r="A22" s="87"/>
      <c r="B22" s="103" t="s">
        <v>79</v>
      </c>
      <c r="C22" s="104" t="s">
        <v>88</v>
      </c>
      <c r="D22" s="87"/>
      <c r="E22" s="103" t="s">
        <v>79</v>
      </c>
      <c r="F22" s="87"/>
      <c r="G22" s="104" t="s">
        <v>89</v>
      </c>
      <c r="H22" s="87"/>
    </row>
    <row r="23" spans="1:8" x14ac:dyDescent="0.2">
      <c r="A23" s="87"/>
      <c r="B23" s="87"/>
      <c r="C23" s="105" t="s">
        <v>90</v>
      </c>
      <c r="D23" s="87"/>
      <c r="E23" s="87"/>
      <c r="F23" s="87"/>
      <c r="G23" s="105" t="s">
        <v>91</v>
      </c>
      <c r="H23" s="87"/>
    </row>
    <row r="24" spans="1:8" ht="10.15" customHeight="1" x14ac:dyDescent="0.2">
      <c r="A24" s="87"/>
      <c r="B24" s="87"/>
      <c r="C24" s="87"/>
      <c r="D24" s="87"/>
      <c r="E24" s="87"/>
      <c r="F24" s="87"/>
      <c r="G24" s="87"/>
      <c r="H24" s="87"/>
    </row>
    <row r="25" spans="1:8" ht="31.9" customHeight="1" x14ac:dyDescent="0.3">
      <c r="A25" s="87"/>
      <c r="B25" s="106" t="s">
        <v>92</v>
      </c>
      <c r="C25" s="95"/>
      <c r="D25" s="95"/>
      <c r="E25" s="95"/>
      <c r="F25" s="95"/>
      <c r="G25" s="102" t="s">
        <v>64</v>
      </c>
      <c r="H25" s="87"/>
    </row>
    <row r="26" spans="1:8" ht="10.15" customHeight="1" x14ac:dyDescent="0.2">
      <c r="A26" s="87"/>
      <c r="B26" s="87"/>
      <c r="C26" s="87"/>
      <c r="D26" s="87"/>
      <c r="E26" s="87"/>
      <c r="F26" s="87"/>
      <c r="G26" s="87"/>
      <c r="H26" s="87"/>
    </row>
    <row r="27" spans="1:8" ht="15.75" x14ac:dyDescent="0.25">
      <c r="A27" s="87"/>
      <c r="B27" s="107" t="s">
        <v>93</v>
      </c>
      <c r="C27" s="87"/>
      <c r="D27" s="87"/>
      <c r="E27" s="87"/>
      <c r="F27" s="87"/>
      <c r="G27" s="87"/>
      <c r="H27" s="87"/>
    </row>
    <row r="28" spans="1:8" x14ac:dyDescent="0.2">
      <c r="A28" s="87"/>
      <c r="B28" s="108" t="s">
        <v>94</v>
      </c>
      <c r="C28" s="87"/>
      <c r="D28" s="87"/>
      <c r="E28" s="87"/>
      <c r="F28" s="87"/>
      <c r="G28" s="87"/>
      <c r="H28" s="87"/>
    </row>
    <row r="29" spans="1:8" ht="10.15" customHeight="1" x14ac:dyDescent="0.2">
      <c r="A29" s="87"/>
      <c r="B29" s="109"/>
      <c r="C29" s="87"/>
      <c r="D29" s="87"/>
      <c r="E29" s="87"/>
      <c r="F29" s="87"/>
      <c r="G29" s="87"/>
      <c r="H29" s="87"/>
    </row>
    <row r="30" spans="1:8" ht="16.5" x14ac:dyDescent="0.25">
      <c r="A30" s="87"/>
      <c r="B30" s="110" t="s">
        <v>95</v>
      </c>
      <c r="C30" s="87"/>
      <c r="D30" s="87"/>
      <c r="E30" s="87"/>
      <c r="F30" s="87"/>
      <c r="G30" s="87"/>
      <c r="H30" s="87"/>
    </row>
    <row r="31" spans="1:8" x14ac:dyDescent="0.2">
      <c r="A31" s="87"/>
      <c r="B31" s="111" t="s">
        <v>96</v>
      </c>
      <c r="C31" s="87"/>
      <c r="D31" s="87"/>
      <c r="E31" s="87"/>
      <c r="F31" s="87"/>
      <c r="G31" s="87"/>
      <c r="H31" s="87"/>
    </row>
    <row r="32" spans="1:8" ht="10.15" customHeight="1" thickBot="1" x14ac:dyDescent="0.25">
      <c r="A32" s="87"/>
      <c r="B32" s="87"/>
      <c r="C32" s="87"/>
      <c r="D32" s="87"/>
      <c r="E32" s="87"/>
      <c r="F32" s="87"/>
      <c r="G32" s="87"/>
      <c r="H32" s="87"/>
    </row>
    <row r="33" spans="1:8" ht="30.75" thickTop="1" x14ac:dyDescent="0.4">
      <c r="A33" s="87"/>
      <c r="B33" s="112">
        <v>3.36</v>
      </c>
      <c r="C33" s="112">
        <v>0.8</v>
      </c>
      <c r="D33" s="87"/>
      <c r="E33" s="112">
        <v>0.7</v>
      </c>
      <c r="F33" s="87"/>
      <c r="G33" s="113">
        <v>1.5</v>
      </c>
      <c r="H33" s="87"/>
    </row>
    <row r="34" spans="1:8" x14ac:dyDescent="0.2">
      <c r="A34" s="87"/>
      <c r="B34" s="114" t="s">
        <v>97</v>
      </c>
      <c r="C34" s="114" t="s">
        <v>98</v>
      </c>
      <c r="D34" s="87"/>
      <c r="E34" s="114" t="s">
        <v>99</v>
      </c>
      <c r="F34" s="87"/>
      <c r="G34" s="114" t="s">
        <v>100</v>
      </c>
      <c r="H34" s="87"/>
    </row>
    <row r="35" spans="1:8" ht="15" thickBot="1" x14ac:dyDescent="0.25">
      <c r="A35" s="87"/>
      <c r="B35" s="115" t="s">
        <v>101</v>
      </c>
      <c r="C35" s="115" t="s">
        <v>102</v>
      </c>
      <c r="D35" s="116"/>
      <c r="E35" s="115" t="s">
        <v>103</v>
      </c>
      <c r="F35" s="116"/>
      <c r="G35" s="115" t="s">
        <v>104</v>
      </c>
      <c r="H35" s="87"/>
    </row>
    <row r="36" spans="1:8" ht="10.15" customHeight="1" thickTop="1" x14ac:dyDescent="0.2">
      <c r="A36" s="87"/>
      <c r="B36" s="87"/>
      <c r="C36" s="87"/>
      <c r="D36" s="87"/>
      <c r="E36" s="87"/>
      <c r="F36" s="87"/>
      <c r="G36" s="87"/>
      <c r="H36" s="87"/>
    </row>
    <row r="37" spans="1:8" ht="31.9" customHeight="1" x14ac:dyDescent="0.3">
      <c r="A37" s="87"/>
      <c r="B37" s="94" t="s">
        <v>105</v>
      </c>
      <c r="C37" s="95"/>
      <c r="D37" s="95"/>
      <c r="E37" s="95"/>
      <c r="F37" s="95"/>
      <c r="G37" s="102" t="s">
        <v>64</v>
      </c>
      <c r="H37" s="87"/>
    </row>
    <row r="38" spans="1:8" ht="10.15" customHeight="1" x14ac:dyDescent="0.2">
      <c r="A38" s="87"/>
      <c r="B38" s="87"/>
      <c r="C38" s="87"/>
      <c r="D38" s="87"/>
      <c r="E38" s="87"/>
      <c r="F38" s="87"/>
      <c r="G38" s="87"/>
      <c r="H38" s="87"/>
    </row>
    <row r="39" spans="1:8" ht="15.75" x14ac:dyDescent="0.25">
      <c r="A39" s="87"/>
      <c r="C39" s="117" t="s">
        <v>106</v>
      </c>
      <c r="D39" s="116"/>
      <c r="E39" s="117" t="s">
        <v>107</v>
      </c>
      <c r="F39" s="116"/>
      <c r="G39" s="117" t="s">
        <v>108</v>
      </c>
      <c r="H39" s="87"/>
    </row>
    <row r="40" spans="1:8" ht="20.25" x14ac:dyDescent="0.3">
      <c r="A40" s="87"/>
      <c r="B40" s="118" t="s">
        <v>109</v>
      </c>
      <c r="C40" s="119" t="s">
        <v>110</v>
      </c>
      <c r="D40" s="87"/>
      <c r="E40" s="119" t="s">
        <v>111</v>
      </c>
      <c r="F40" s="87"/>
      <c r="G40" s="119" t="s">
        <v>112</v>
      </c>
      <c r="H40" s="87"/>
    </row>
    <row r="41" spans="1:8" x14ac:dyDescent="0.2">
      <c r="A41" s="87"/>
      <c r="B41" s="87"/>
      <c r="C41" s="119" t="s">
        <v>113</v>
      </c>
      <c r="D41" s="87"/>
      <c r="E41" s="119" t="s">
        <v>114</v>
      </c>
      <c r="F41" s="87"/>
      <c r="G41" s="120" t="s">
        <v>115</v>
      </c>
      <c r="H41" s="87"/>
    </row>
    <row r="42" spans="1:8" x14ac:dyDescent="0.2">
      <c r="A42" s="87"/>
      <c r="B42" s="87"/>
      <c r="C42" s="119" t="s">
        <v>116</v>
      </c>
      <c r="D42" s="87"/>
      <c r="E42" s="119" t="s">
        <v>117</v>
      </c>
      <c r="F42" s="87"/>
      <c r="G42" s="119" t="s">
        <v>118</v>
      </c>
      <c r="H42" s="87"/>
    </row>
    <row r="43" spans="1:8" ht="10.15" customHeight="1" x14ac:dyDescent="0.2">
      <c r="A43" s="87"/>
      <c r="B43" s="87"/>
      <c r="C43" s="87"/>
      <c r="D43" s="87"/>
      <c r="E43" s="87"/>
      <c r="F43" s="87"/>
      <c r="G43" s="87"/>
      <c r="H43" s="87"/>
    </row>
    <row r="44" spans="1:8" ht="10.15" customHeight="1" x14ac:dyDescent="0.2">
      <c r="A44" s="87"/>
      <c r="B44" s="87"/>
      <c r="C44" s="87"/>
      <c r="D44" s="87"/>
      <c r="E44" s="87"/>
      <c r="F44" s="87"/>
      <c r="G44" s="87"/>
      <c r="H44" s="87"/>
    </row>
    <row r="45" spans="1:8" ht="31.9" customHeight="1" x14ac:dyDescent="0.3">
      <c r="A45" s="87"/>
      <c r="B45" s="94" t="s">
        <v>119</v>
      </c>
      <c r="C45" s="95"/>
      <c r="D45" s="95"/>
      <c r="E45" s="95"/>
      <c r="F45" s="95"/>
      <c r="G45" s="102" t="s">
        <v>64</v>
      </c>
      <c r="H45" s="87"/>
    </row>
    <row r="46" spans="1:8" ht="10.15" customHeight="1" x14ac:dyDescent="0.2">
      <c r="A46" s="87"/>
      <c r="B46" s="87"/>
      <c r="C46" s="87"/>
      <c r="D46" s="87"/>
      <c r="E46" s="87"/>
      <c r="F46" s="87"/>
      <c r="G46" s="87"/>
      <c r="H46" s="87"/>
    </row>
    <row r="47" spans="1:8" ht="15" x14ac:dyDescent="0.25">
      <c r="A47" s="87"/>
      <c r="B47" s="121" t="s">
        <v>120</v>
      </c>
      <c r="C47" s="122" t="s">
        <v>121</v>
      </c>
      <c r="D47" s="87"/>
      <c r="E47" s="123" t="s">
        <v>122</v>
      </c>
      <c r="F47" s="87"/>
      <c r="G47" s="87"/>
      <c r="H47" s="87"/>
    </row>
    <row r="48" spans="1:8" x14ac:dyDescent="0.2">
      <c r="A48" s="87"/>
      <c r="B48" s="124" t="s">
        <v>123</v>
      </c>
      <c r="C48" s="125" t="s">
        <v>124</v>
      </c>
      <c r="D48" s="87"/>
      <c r="E48" s="126" t="s">
        <v>125</v>
      </c>
      <c r="F48" s="87"/>
      <c r="G48" s="87"/>
      <c r="H48" s="87"/>
    </row>
    <row r="49" spans="1:8" x14ac:dyDescent="0.2">
      <c r="A49" s="87"/>
      <c r="B49" s="127" t="s">
        <v>126</v>
      </c>
      <c r="C49" s="128" t="s">
        <v>127</v>
      </c>
      <c r="D49" s="87"/>
      <c r="E49" s="129" t="s">
        <v>128</v>
      </c>
      <c r="F49" s="87"/>
      <c r="G49" s="87"/>
      <c r="H49" s="87"/>
    </row>
    <row r="50" spans="1:8" x14ac:dyDescent="0.2">
      <c r="A50" s="87"/>
      <c r="B50" s="130" t="s">
        <v>129</v>
      </c>
      <c r="C50" s="131" t="s">
        <v>130</v>
      </c>
      <c r="D50" s="87"/>
      <c r="E50" s="132" t="s">
        <v>131</v>
      </c>
      <c r="F50" s="87"/>
      <c r="G50" s="87"/>
      <c r="H50" s="87"/>
    </row>
    <row r="51" spans="1:8" x14ac:dyDescent="0.2">
      <c r="A51" s="87"/>
      <c r="B51" s="127" t="s">
        <v>132</v>
      </c>
      <c r="C51" s="128" t="s">
        <v>133</v>
      </c>
      <c r="D51" s="87"/>
      <c r="E51" s="129" t="s">
        <v>134</v>
      </c>
      <c r="F51" s="87"/>
      <c r="G51" s="87"/>
      <c r="H51" s="87"/>
    </row>
    <row r="52" spans="1:8" x14ac:dyDescent="0.2">
      <c r="A52" s="87"/>
      <c r="B52" s="130" t="s">
        <v>135</v>
      </c>
      <c r="C52" s="131" t="s">
        <v>136</v>
      </c>
      <c r="D52" s="87"/>
      <c r="E52" s="132" t="s">
        <v>137</v>
      </c>
      <c r="F52" s="87"/>
      <c r="G52" s="87"/>
      <c r="H52" s="87"/>
    </row>
    <row r="53" spans="1:8" x14ac:dyDescent="0.2">
      <c r="A53" s="87"/>
      <c r="B53" s="133" t="s">
        <v>138</v>
      </c>
      <c r="C53" s="134" t="s">
        <v>139</v>
      </c>
      <c r="D53" s="87"/>
      <c r="E53" s="135" t="s">
        <v>140</v>
      </c>
      <c r="F53" s="87"/>
      <c r="G53" s="87"/>
      <c r="H53" s="87"/>
    </row>
    <row r="54" spans="1:8" ht="10.15" customHeight="1" x14ac:dyDescent="0.2">
      <c r="A54" s="87"/>
      <c r="B54" s="87"/>
      <c r="C54" s="87"/>
      <c r="D54" s="87"/>
      <c r="E54" s="87"/>
      <c r="F54" s="87"/>
      <c r="G54" s="87"/>
      <c r="H54" s="87"/>
    </row>
    <row r="55" spans="1:8" ht="31.9" customHeight="1" x14ac:dyDescent="0.3">
      <c r="A55" s="87"/>
      <c r="B55" s="101" t="s">
        <v>141</v>
      </c>
      <c r="C55" s="95"/>
      <c r="D55" s="95"/>
      <c r="E55" s="95"/>
      <c r="F55" s="95"/>
      <c r="G55" s="102" t="s">
        <v>64</v>
      </c>
      <c r="H55" s="87"/>
    </row>
    <row r="56" spans="1:8" ht="10.15" customHeight="1" x14ac:dyDescent="0.2">
      <c r="A56" s="87"/>
      <c r="B56" s="87"/>
      <c r="C56" s="87"/>
      <c r="D56" s="87"/>
      <c r="E56" s="87"/>
      <c r="F56" s="87"/>
      <c r="G56" s="87"/>
      <c r="H56" s="87"/>
    </row>
    <row r="57" spans="1:8" ht="15.6" customHeight="1" x14ac:dyDescent="0.3">
      <c r="A57" s="87"/>
      <c r="B57" s="136"/>
      <c r="C57" s="137" t="s">
        <v>142</v>
      </c>
      <c r="D57" s="87"/>
      <c r="E57" s="138" t="s">
        <v>143</v>
      </c>
      <c r="F57" s="87"/>
      <c r="G57" s="137" t="s">
        <v>144</v>
      </c>
      <c r="H57" s="87"/>
    </row>
    <row r="58" spans="1:8" ht="20.25" x14ac:dyDescent="0.3">
      <c r="A58" s="87"/>
      <c r="B58" s="136" t="s">
        <v>145</v>
      </c>
      <c r="C58" s="139" t="s">
        <v>146</v>
      </c>
      <c r="D58" s="87"/>
      <c r="E58" s="139" t="s">
        <v>147</v>
      </c>
      <c r="F58" s="87"/>
      <c r="G58" s="139" t="s">
        <v>148</v>
      </c>
      <c r="H58" s="87"/>
    </row>
    <row r="59" spans="1:8" ht="12" customHeight="1" x14ac:dyDescent="0.3">
      <c r="A59" s="87"/>
      <c r="B59" s="136"/>
      <c r="C59" s="139" t="s">
        <v>149</v>
      </c>
      <c r="D59" s="87"/>
      <c r="E59" s="139" t="s">
        <v>150</v>
      </c>
      <c r="F59" s="87"/>
      <c r="G59" s="139" t="s">
        <v>151</v>
      </c>
      <c r="H59" s="87"/>
    </row>
    <row r="60" spans="1:8" ht="10.15" customHeight="1" x14ac:dyDescent="0.2">
      <c r="A60" s="87"/>
      <c r="B60" s="87"/>
      <c r="C60" s="87"/>
      <c r="D60" s="87"/>
      <c r="E60" s="87"/>
      <c r="F60" s="87"/>
      <c r="G60" s="87"/>
      <c r="H60" s="87"/>
    </row>
    <row r="61" spans="1:8" ht="4.1500000000000004" customHeight="1" x14ac:dyDescent="0.2">
      <c r="A61" s="87"/>
      <c r="B61" s="95"/>
      <c r="C61" s="95"/>
      <c r="D61" s="95"/>
      <c r="E61" s="95"/>
      <c r="F61" s="95"/>
      <c r="G61" s="95"/>
      <c r="H61" s="87"/>
    </row>
    <row r="62" spans="1:8" ht="10.15" customHeight="1" x14ac:dyDescent="0.2">
      <c r="A62" s="87"/>
      <c r="B62" s="87"/>
      <c r="C62" s="87"/>
      <c r="D62" s="87"/>
      <c r="E62" s="87"/>
      <c r="F62" s="87"/>
      <c r="G62" s="87"/>
      <c r="H62" s="87"/>
    </row>
    <row r="63" spans="1:8" ht="23.25" x14ac:dyDescent="0.35">
      <c r="A63" s="87"/>
      <c r="B63" s="140" t="s">
        <v>152</v>
      </c>
      <c r="C63" s="87"/>
      <c r="D63" s="87"/>
      <c r="E63" s="87"/>
      <c r="F63" s="87"/>
      <c r="G63" s="87"/>
      <c r="H63" s="87"/>
    </row>
    <row r="64" spans="1:8" ht="10.15" customHeight="1" x14ac:dyDescent="0.2">
      <c r="A64" s="87"/>
      <c r="B64" s="87"/>
      <c r="C64" s="87"/>
      <c r="D64" s="87"/>
      <c r="E64" s="87"/>
      <c r="F64" s="87"/>
      <c r="G64" s="87"/>
      <c r="H64" s="87"/>
    </row>
    <row r="65" spans="1:8" ht="15" x14ac:dyDescent="0.2">
      <c r="A65" s="87"/>
      <c r="B65" s="107" t="s">
        <v>153</v>
      </c>
      <c r="C65" s="87"/>
      <c r="D65" s="87"/>
      <c r="E65" s="87"/>
      <c r="F65" s="87"/>
      <c r="G65" s="87"/>
      <c r="H65" s="87"/>
    </row>
    <row r="66" spans="1:8" ht="15" x14ac:dyDescent="0.2">
      <c r="A66" s="87"/>
      <c r="B66" s="107" t="s">
        <v>154</v>
      </c>
      <c r="C66" s="87"/>
      <c r="D66" s="87"/>
      <c r="E66" s="89" t="s">
        <v>64</v>
      </c>
      <c r="F66" s="87"/>
      <c r="G66" s="87"/>
      <c r="H66" s="87"/>
    </row>
    <row r="67" spans="1:8" ht="10.15" customHeight="1" x14ac:dyDescent="0.2">
      <c r="A67" s="87"/>
      <c r="B67" s="87"/>
      <c r="C67" s="87"/>
      <c r="D67" s="87"/>
      <c r="E67" s="87"/>
      <c r="F67" s="87"/>
      <c r="G67" s="87"/>
      <c r="H67" s="87"/>
    </row>
    <row r="68" spans="1:8" ht="40.15" customHeight="1" x14ac:dyDescent="0.3">
      <c r="A68" s="87"/>
      <c r="B68" s="141" t="s">
        <v>155</v>
      </c>
      <c r="C68" s="142"/>
      <c r="D68" s="142"/>
      <c r="E68" s="142"/>
      <c r="F68" s="142"/>
      <c r="G68" s="142"/>
      <c r="H68" s="87"/>
    </row>
    <row r="69" spans="1:8" x14ac:dyDescent="0.2">
      <c r="A69" s="87"/>
      <c r="B69" s="143" t="s">
        <v>156</v>
      </c>
      <c r="C69" s="87"/>
      <c r="D69" s="87"/>
      <c r="E69" s="87"/>
      <c r="F69" s="87"/>
      <c r="G69" s="87"/>
      <c r="H69" s="87"/>
    </row>
    <row r="70" spans="1:8" ht="10.15" customHeight="1" x14ac:dyDescent="0.2">
      <c r="A70" s="87"/>
      <c r="B70" s="87"/>
      <c r="C70" s="87"/>
      <c r="D70" s="87"/>
      <c r="E70" s="87"/>
      <c r="F70" s="87"/>
      <c r="G70" s="87"/>
      <c r="H70" s="87"/>
    </row>
    <row r="71" spans="1:8" ht="4.1500000000000004" customHeight="1" x14ac:dyDescent="0.2">
      <c r="A71" s="87"/>
      <c r="B71" s="95"/>
      <c r="C71" s="95"/>
      <c r="D71" s="95"/>
      <c r="E71" s="95"/>
      <c r="F71" s="95"/>
      <c r="G71" s="95"/>
      <c r="H71" s="87"/>
    </row>
    <row r="72" spans="1:8" x14ac:dyDescent="0.2">
      <c r="A72" s="87"/>
      <c r="B72" s="111" t="s">
        <v>157</v>
      </c>
      <c r="C72" s="87"/>
      <c r="D72" s="87"/>
      <c r="E72" s="87"/>
      <c r="F72" s="87"/>
      <c r="G72" s="87"/>
      <c r="H72" s="87"/>
    </row>
    <row r="73" spans="1:8" x14ac:dyDescent="0.2">
      <c r="A73" s="87"/>
      <c r="B73" s="87"/>
      <c r="C73" s="87"/>
      <c r="D73" s="87"/>
      <c r="E73" s="87"/>
      <c r="F73" s="87"/>
      <c r="G73" s="87"/>
      <c r="H73" s="87"/>
    </row>
    <row r="74" spans="1:8" x14ac:dyDescent="0.2">
      <c r="A74" s="87"/>
      <c r="B74" s="87"/>
      <c r="C74" s="87"/>
      <c r="D74" s="87"/>
      <c r="E74" s="87"/>
      <c r="F74" s="87"/>
      <c r="G74" s="87"/>
      <c r="H74" s="87"/>
    </row>
    <row r="75" spans="1:8" x14ac:dyDescent="0.2">
      <c r="A75" s="87"/>
      <c r="B75" s="87"/>
      <c r="C75" s="87"/>
      <c r="D75" s="87"/>
      <c r="E75" s="87"/>
      <c r="F75" s="87"/>
      <c r="G75" s="87"/>
      <c r="H75" s="87"/>
    </row>
    <row r="76" spans="1:8" x14ac:dyDescent="0.2">
      <c r="A76" s="87"/>
      <c r="B76" s="87"/>
      <c r="C76" s="87"/>
      <c r="D76" s="87"/>
      <c r="E76" s="87"/>
      <c r="F76" s="87"/>
      <c r="G76" s="87"/>
      <c r="H76" s="87"/>
    </row>
    <row r="77" spans="1:8" x14ac:dyDescent="0.2">
      <c r="A77" s="87"/>
      <c r="B77" s="87"/>
      <c r="C77" s="87"/>
      <c r="D77" s="87"/>
      <c r="E77" s="87"/>
      <c r="F77" s="87"/>
      <c r="G77" s="87"/>
      <c r="H77" s="87"/>
    </row>
    <row r="78" spans="1:8" x14ac:dyDescent="0.2">
      <c r="A78" s="87"/>
      <c r="B78" s="87"/>
      <c r="C78" s="87"/>
      <c r="D78" s="87"/>
      <c r="E78" s="87"/>
      <c r="F78" s="87"/>
      <c r="G78" s="87"/>
      <c r="H78" s="87"/>
    </row>
    <row r="79" spans="1:8" x14ac:dyDescent="0.2">
      <c r="A79" s="87"/>
      <c r="B79" s="87"/>
      <c r="C79" s="87"/>
      <c r="D79" s="87"/>
      <c r="E79" s="87"/>
      <c r="F79" s="87"/>
      <c r="G79" s="87"/>
      <c r="H79" s="87"/>
    </row>
    <row r="80" spans="1:8" x14ac:dyDescent="0.2">
      <c r="A80" s="87"/>
      <c r="B80" s="87"/>
      <c r="C80" s="87"/>
      <c r="D80" s="87"/>
      <c r="E80" s="87"/>
      <c r="F80" s="87"/>
      <c r="G80" s="87"/>
      <c r="H80" s="87"/>
    </row>
    <row r="81" spans="1:8" x14ac:dyDescent="0.2">
      <c r="A81" s="87"/>
      <c r="B81" s="87"/>
      <c r="C81" s="87"/>
      <c r="D81" s="87"/>
      <c r="E81" s="87"/>
      <c r="F81" s="87"/>
      <c r="G81" s="87"/>
      <c r="H81" s="87"/>
    </row>
    <row r="82" spans="1:8" x14ac:dyDescent="0.2">
      <c r="A82" s="87"/>
      <c r="B82" s="87"/>
      <c r="C82" s="87"/>
      <c r="D82" s="87"/>
      <c r="E82" s="87"/>
      <c r="F82" s="87"/>
      <c r="G82" s="87"/>
      <c r="H82" s="87"/>
    </row>
    <row r="83" spans="1:8" x14ac:dyDescent="0.2">
      <c r="A83" s="87"/>
      <c r="B83" s="87"/>
      <c r="C83" s="87"/>
      <c r="D83" s="87"/>
      <c r="E83" s="87"/>
      <c r="F83" s="87"/>
      <c r="G83" s="87"/>
      <c r="H83" s="87"/>
    </row>
    <row r="84" spans="1:8" x14ac:dyDescent="0.2">
      <c r="A84" s="87"/>
      <c r="B84" s="87"/>
      <c r="C84" s="87"/>
      <c r="D84" s="87"/>
      <c r="E84" s="87"/>
      <c r="F84" s="87"/>
      <c r="G84" s="87"/>
      <c r="H84" s="87"/>
    </row>
    <row r="85" spans="1:8" x14ac:dyDescent="0.2">
      <c r="A85" s="87"/>
      <c r="B85" s="87"/>
      <c r="C85" s="87"/>
      <c r="D85" s="87"/>
      <c r="E85" s="87"/>
      <c r="F85" s="87"/>
      <c r="G85" s="87"/>
      <c r="H85" s="87"/>
    </row>
    <row r="86" spans="1:8" x14ac:dyDescent="0.2">
      <c r="A86" s="87"/>
      <c r="B86" s="87"/>
      <c r="C86" s="87"/>
      <c r="D86" s="87"/>
      <c r="E86" s="87"/>
      <c r="F86" s="87"/>
      <c r="G86" s="87"/>
      <c r="H86" s="87"/>
    </row>
    <row r="87" spans="1:8" x14ac:dyDescent="0.2">
      <c r="A87" s="87"/>
      <c r="B87" s="87"/>
      <c r="C87" s="87"/>
      <c r="D87" s="87"/>
      <c r="E87" s="87"/>
      <c r="F87" s="87"/>
      <c r="G87" s="87"/>
      <c r="H87" s="87"/>
    </row>
    <row r="88" spans="1:8" x14ac:dyDescent="0.2">
      <c r="A88" s="87"/>
      <c r="B88" s="87"/>
      <c r="C88" s="87"/>
      <c r="D88" s="87"/>
      <c r="E88" s="87"/>
      <c r="F88" s="87"/>
      <c r="G88" s="87"/>
      <c r="H88" s="87"/>
    </row>
    <row r="89" spans="1:8" x14ac:dyDescent="0.2">
      <c r="A89" s="87"/>
      <c r="B89" s="87"/>
      <c r="C89" s="87"/>
      <c r="D89" s="87"/>
      <c r="E89" s="87"/>
      <c r="F89" s="87"/>
      <c r="G89" s="87"/>
      <c r="H89" s="87"/>
    </row>
    <row r="90" spans="1:8" x14ac:dyDescent="0.2">
      <c r="A90" s="87"/>
      <c r="B90" s="87"/>
      <c r="C90" s="87"/>
      <c r="D90" s="87"/>
      <c r="E90" s="87"/>
      <c r="F90" s="87"/>
      <c r="G90" s="87"/>
      <c r="H90" s="87"/>
    </row>
    <row r="91" spans="1:8" x14ac:dyDescent="0.2">
      <c r="A91" s="87"/>
      <c r="B91" s="87"/>
      <c r="C91" s="87"/>
      <c r="D91" s="87"/>
      <c r="E91" s="87"/>
      <c r="F91" s="87"/>
      <c r="G91" s="87"/>
      <c r="H91" s="87"/>
    </row>
    <row r="92" spans="1:8" x14ac:dyDescent="0.2">
      <c r="A92" s="87"/>
      <c r="B92" s="87"/>
      <c r="C92" s="87"/>
      <c r="D92" s="87"/>
      <c r="E92" s="87"/>
      <c r="F92" s="87"/>
      <c r="G92" s="87"/>
      <c r="H92" s="87"/>
    </row>
    <row r="93" spans="1:8" x14ac:dyDescent="0.2">
      <c r="A93" s="87"/>
      <c r="B93" s="87"/>
      <c r="C93" s="87"/>
      <c r="D93" s="87"/>
      <c r="E93" s="87"/>
      <c r="F93" s="87"/>
      <c r="G93" s="87"/>
      <c r="H93" s="87"/>
    </row>
    <row r="94" spans="1:8" x14ac:dyDescent="0.2">
      <c r="A94" s="87"/>
      <c r="B94" s="87"/>
      <c r="C94" s="87"/>
      <c r="D94" s="87"/>
      <c r="E94" s="87"/>
      <c r="F94" s="87"/>
      <c r="G94" s="87"/>
      <c r="H94" s="87"/>
    </row>
    <row r="95" spans="1:8" x14ac:dyDescent="0.2">
      <c r="A95" s="87"/>
      <c r="B95" s="87"/>
      <c r="C95" s="87"/>
      <c r="D95" s="87"/>
      <c r="E95" s="87"/>
      <c r="F95" s="87"/>
      <c r="G95" s="87"/>
      <c r="H95" s="87"/>
    </row>
    <row r="96" spans="1:8" x14ac:dyDescent="0.2">
      <c r="A96" s="87"/>
      <c r="B96" s="87"/>
      <c r="C96" s="87"/>
      <c r="D96" s="87"/>
      <c r="E96" s="87"/>
      <c r="F96" s="87"/>
      <c r="G96" s="87"/>
      <c r="H96" s="87"/>
    </row>
    <row r="97" spans="1:8" x14ac:dyDescent="0.2">
      <c r="A97" s="87"/>
      <c r="B97" s="87"/>
      <c r="C97" s="87"/>
      <c r="D97" s="87"/>
      <c r="E97" s="87"/>
      <c r="F97" s="87"/>
      <c r="G97" s="87"/>
      <c r="H97" s="87"/>
    </row>
    <row r="98" spans="1:8" x14ac:dyDescent="0.2">
      <c r="A98" s="87"/>
      <c r="B98" s="87"/>
      <c r="C98" s="87"/>
      <c r="D98" s="87"/>
      <c r="E98" s="87"/>
      <c r="F98" s="87"/>
      <c r="G98" s="87"/>
      <c r="H98" s="87"/>
    </row>
    <row r="99" spans="1:8" x14ac:dyDescent="0.2">
      <c r="A99" s="87"/>
      <c r="B99" s="87"/>
      <c r="C99" s="87"/>
      <c r="D99" s="87"/>
      <c r="E99" s="87"/>
      <c r="F99" s="87"/>
      <c r="G99" s="87"/>
      <c r="H99" s="87"/>
    </row>
    <row r="100" spans="1:8" x14ac:dyDescent="0.2">
      <c r="A100" s="87"/>
      <c r="B100" s="87"/>
      <c r="C100" s="87"/>
      <c r="D100" s="87"/>
      <c r="E100" s="87"/>
      <c r="F100" s="87"/>
      <c r="G100" s="87"/>
      <c r="H100" s="87"/>
    </row>
    <row r="101" spans="1:8" x14ac:dyDescent="0.2">
      <c r="A101" s="87"/>
      <c r="B101" s="87"/>
      <c r="C101" s="87"/>
      <c r="D101" s="87"/>
      <c r="E101" s="87"/>
      <c r="F101" s="87"/>
      <c r="G101" s="87"/>
      <c r="H101" s="87"/>
    </row>
    <row r="102" spans="1:8" x14ac:dyDescent="0.2">
      <c r="A102" s="87"/>
      <c r="B102" s="87"/>
      <c r="C102" s="87"/>
      <c r="D102" s="87"/>
      <c r="E102" s="87"/>
      <c r="F102" s="87"/>
      <c r="G102" s="87"/>
      <c r="H102" s="87"/>
    </row>
    <row r="103" spans="1:8" x14ac:dyDescent="0.2">
      <c r="A103" s="87"/>
      <c r="B103" s="87"/>
      <c r="C103" s="87"/>
      <c r="D103" s="87"/>
      <c r="E103" s="87"/>
      <c r="F103" s="87"/>
      <c r="G103" s="87"/>
      <c r="H103" s="87"/>
    </row>
    <row r="104" spans="1:8" x14ac:dyDescent="0.2">
      <c r="A104" s="87"/>
      <c r="B104" s="87"/>
      <c r="C104" s="87"/>
      <c r="D104" s="87"/>
      <c r="E104" s="87"/>
      <c r="F104" s="87"/>
      <c r="G104" s="87"/>
      <c r="H104" s="87"/>
    </row>
    <row r="105" spans="1:8" x14ac:dyDescent="0.2">
      <c r="A105" s="87"/>
      <c r="B105" s="87"/>
      <c r="C105" s="87"/>
      <c r="D105" s="87"/>
      <c r="E105" s="87"/>
      <c r="F105" s="87"/>
      <c r="G105" s="87"/>
      <c r="H105" s="87"/>
    </row>
    <row r="106" spans="1:8" x14ac:dyDescent="0.2">
      <c r="A106" s="87"/>
      <c r="B106" s="87"/>
      <c r="C106" s="87"/>
      <c r="D106" s="87"/>
      <c r="E106" s="87"/>
      <c r="F106" s="87"/>
      <c r="G106" s="87"/>
      <c r="H106" s="87"/>
    </row>
    <row r="107" spans="1:8" x14ac:dyDescent="0.2">
      <c r="A107" s="87"/>
      <c r="B107" s="87"/>
      <c r="C107" s="87"/>
      <c r="D107" s="87"/>
      <c r="E107" s="87"/>
      <c r="F107" s="87"/>
      <c r="G107" s="87"/>
      <c r="H107" s="87"/>
    </row>
    <row r="108" spans="1:8" x14ac:dyDescent="0.2">
      <c r="A108" s="87"/>
      <c r="B108" s="87"/>
      <c r="C108" s="87"/>
      <c r="D108" s="87"/>
      <c r="E108" s="87"/>
      <c r="F108" s="87"/>
      <c r="G108" s="87"/>
      <c r="H108" s="87"/>
    </row>
    <row r="109" spans="1:8" x14ac:dyDescent="0.2">
      <c r="A109" s="87"/>
      <c r="B109" s="87"/>
      <c r="C109" s="87"/>
      <c r="D109" s="87"/>
      <c r="E109" s="87"/>
      <c r="F109" s="87"/>
      <c r="G109" s="87"/>
      <c r="H109" s="87"/>
    </row>
    <row r="110" spans="1:8" x14ac:dyDescent="0.2">
      <c r="A110" s="87"/>
      <c r="B110" s="87"/>
      <c r="C110" s="87"/>
      <c r="D110" s="87"/>
      <c r="E110" s="87"/>
      <c r="F110" s="87"/>
      <c r="G110" s="87"/>
      <c r="H110" s="87"/>
    </row>
    <row r="111" spans="1:8" x14ac:dyDescent="0.2">
      <c r="A111" s="87"/>
      <c r="B111" s="87"/>
      <c r="C111" s="87"/>
      <c r="D111" s="87"/>
      <c r="E111" s="87"/>
      <c r="F111" s="87"/>
      <c r="G111" s="87"/>
      <c r="H111" s="87"/>
    </row>
    <row r="112" spans="1:8" x14ac:dyDescent="0.2">
      <c r="A112" s="87"/>
      <c r="B112" s="87"/>
      <c r="C112" s="87"/>
      <c r="D112" s="87"/>
      <c r="E112" s="87"/>
      <c r="F112" s="87"/>
      <c r="G112" s="87"/>
      <c r="H112" s="87"/>
    </row>
  </sheetData>
  <hyperlinks>
    <hyperlink ref="G2" r:id="rId1" xr:uid="{51885DC7-50AB-4DF9-934B-FEBF54D51B0A}"/>
    <hyperlink ref="G16" r:id="rId2" xr:uid="{9A3490BD-1115-4A89-9E79-61268B753927}"/>
    <hyperlink ref="G25" r:id="rId3" xr:uid="{6C49D135-A16B-4B06-B29A-DBA5F6E2981F}"/>
    <hyperlink ref="G37" r:id="rId4" xr:uid="{E6429D80-B4EF-49EC-92F5-BA8968446457}"/>
    <hyperlink ref="G45" r:id="rId5" xr:uid="{D166F7B9-91E9-4A05-A8F4-BE862A31D2E9}"/>
    <hyperlink ref="G55" r:id="rId6" xr:uid="{ADE22DBA-4589-4824-B234-7F8343AAADB1}"/>
    <hyperlink ref="E66" r:id="rId7" xr:uid="{EFD5179A-4EC7-4518-A8E8-06329CCC1595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DEE-86E8-4E85-81B9-EBA4348F85EA}">
  <dimension ref="A1:C22"/>
  <sheetViews>
    <sheetView rightToLeft="1" workbookViewId="0">
      <selection activeCell="B23" sqref="B23"/>
    </sheetView>
  </sheetViews>
  <sheetFormatPr defaultRowHeight="14.25" x14ac:dyDescent="0.2"/>
  <cols>
    <col min="1" max="1" width="30" customWidth="1"/>
    <col min="2" max="2" width="23.25" customWidth="1"/>
    <col min="3" max="3" width="50" customWidth="1"/>
  </cols>
  <sheetData>
    <row r="1" spans="1:3" ht="23.25" x14ac:dyDescent="0.35">
      <c r="A1" s="1" t="s">
        <v>0</v>
      </c>
    </row>
    <row r="3" spans="1:3" ht="16.5" x14ac:dyDescent="0.25">
      <c r="A3" s="2" t="s">
        <v>1</v>
      </c>
      <c r="B3" s="3"/>
      <c r="C3" s="3"/>
    </row>
    <row r="4" spans="1:3" ht="15" x14ac:dyDescent="0.25">
      <c r="A4" s="4" t="s">
        <v>2</v>
      </c>
      <c r="B4" s="5" t="s">
        <v>3</v>
      </c>
      <c r="C4" s="6"/>
    </row>
    <row r="5" spans="1:3" ht="15" x14ac:dyDescent="0.25">
      <c r="A5" s="7" t="s">
        <v>4</v>
      </c>
      <c r="B5" s="8" t="s">
        <v>51</v>
      </c>
      <c r="C5" s="9"/>
    </row>
    <row r="6" spans="1:3" ht="15" x14ac:dyDescent="0.25">
      <c r="A6" s="4" t="s">
        <v>5</v>
      </c>
      <c r="B6" s="77">
        <v>1</v>
      </c>
      <c r="C6" s="78" t="s">
        <v>52</v>
      </c>
    </row>
    <row r="7" spans="1:3" ht="15" x14ac:dyDescent="0.25">
      <c r="A7" s="7" t="s">
        <v>53</v>
      </c>
      <c r="B7" s="79">
        <v>2028</v>
      </c>
      <c r="C7" s="9"/>
    </row>
    <row r="8" spans="1:3" x14ac:dyDescent="0.2">
      <c r="A8" s="10"/>
    </row>
    <row r="9" spans="1:3" ht="16.5" x14ac:dyDescent="0.25">
      <c r="A9" s="11" t="s">
        <v>6</v>
      </c>
      <c r="B9" s="12"/>
      <c r="C9" s="12"/>
    </row>
    <row r="10" spans="1:3" ht="15" x14ac:dyDescent="0.25">
      <c r="A10" s="4" t="s">
        <v>7</v>
      </c>
      <c r="B10" s="13">
        <v>50</v>
      </c>
      <c r="C10" s="6"/>
    </row>
    <row r="11" spans="1:3" ht="15" x14ac:dyDescent="0.25">
      <c r="A11" s="7" t="s">
        <v>8</v>
      </c>
      <c r="B11" s="14">
        <v>8.6</v>
      </c>
      <c r="C11" s="15" t="s">
        <v>9</v>
      </c>
    </row>
    <row r="12" spans="1:3" ht="15" x14ac:dyDescent="0.25">
      <c r="A12" s="4" t="s">
        <v>10</v>
      </c>
      <c r="B12" s="16">
        <v>5</v>
      </c>
      <c r="C12" s="6"/>
    </row>
    <row r="13" spans="1:3" ht="15" x14ac:dyDescent="0.25">
      <c r="A13" s="144" t="s">
        <v>158</v>
      </c>
      <c r="B13" s="145">
        <v>7</v>
      </c>
      <c r="C13" s="146" t="s">
        <v>159</v>
      </c>
    </row>
    <row r="14" spans="1:3" ht="24.75" x14ac:dyDescent="0.25">
      <c r="A14" s="160" t="s">
        <v>168</v>
      </c>
      <c r="B14" s="161">
        <v>45</v>
      </c>
      <c r="C14" s="175" t="s">
        <v>172</v>
      </c>
    </row>
    <row r="15" spans="1:3" ht="16.5" x14ac:dyDescent="0.25">
      <c r="A15" s="147" t="s">
        <v>11</v>
      </c>
      <c r="B15" s="17"/>
      <c r="C15" s="17"/>
    </row>
    <row r="16" spans="1:3" x14ac:dyDescent="0.2">
      <c r="A16" s="176" t="s">
        <v>160</v>
      </c>
      <c r="B16" s="177"/>
      <c r="C16" s="18"/>
    </row>
    <row r="17" spans="1:3" x14ac:dyDescent="0.2">
      <c r="A17" s="176" t="s">
        <v>12</v>
      </c>
      <c r="B17" s="177"/>
      <c r="C17" s="18"/>
    </row>
    <row r="18" spans="1:3" x14ac:dyDescent="0.2">
      <c r="A18" s="176" t="s">
        <v>161</v>
      </c>
      <c r="B18" s="177"/>
      <c r="C18" s="18"/>
    </row>
    <row r="19" spans="1:3" x14ac:dyDescent="0.2">
      <c r="A19" s="176" t="s">
        <v>13</v>
      </c>
      <c r="B19" s="177"/>
      <c r="C19" s="18"/>
    </row>
    <row r="20" spans="1:3" x14ac:dyDescent="0.2">
      <c r="A20" s="178" t="s">
        <v>162</v>
      </c>
      <c r="B20" s="179"/>
      <c r="C20" s="148"/>
    </row>
    <row r="21" spans="1:3" x14ac:dyDescent="0.2">
      <c r="A21" s="180" t="s">
        <v>163</v>
      </c>
      <c r="B21" s="179"/>
      <c r="C21" s="148"/>
    </row>
    <row r="22" spans="1:3" x14ac:dyDescent="0.2">
      <c r="A22" s="181" t="s">
        <v>169</v>
      </c>
      <c r="B22" s="9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9475-E548-45A5-BD60-605CB3734A29}">
  <dimension ref="A1:R44"/>
  <sheetViews>
    <sheetView rightToLeft="1" workbookViewId="0">
      <pane ySplit="1" topLeftCell="A2" activePane="bottomLeft" state="frozen"/>
      <selection pane="bottomLeft" activeCell="G33" sqref="G33"/>
    </sheetView>
  </sheetViews>
  <sheetFormatPr defaultRowHeight="14.25" outlineLevelCol="1" x14ac:dyDescent="0.2"/>
  <cols>
    <col min="1" max="1" width="15.75" customWidth="1"/>
    <col min="2" max="2" width="12.5" customWidth="1"/>
    <col min="3" max="3" width="9.125" customWidth="1"/>
    <col min="4" max="5" width="11.75" customWidth="1"/>
    <col min="6" max="10" width="17.5" customWidth="1"/>
    <col min="11" max="11" width="23.25" customWidth="1"/>
    <col min="12" max="12" width="15" customWidth="1"/>
    <col min="13" max="13" width="20" customWidth="1"/>
    <col min="14" max="14" width="16.75" customWidth="1"/>
    <col min="15" max="15" width="20" customWidth="1"/>
    <col min="16" max="16" width="9" outlineLevel="1"/>
    <col min="17" max="18" width="13.375" customWidth="1"/>
  </cols>
  <sheetData>
    <row r="1" spans="1:18" ht="27" thickBot="1" x14ac:dyDescent="0.3">
      <c r="A1" s="31" t="s">
        <v>14</v>
      </c>
      <c r="B1" s="32" t="s">
        <v>15</v>
      </c>
      <c r="C1" s="85" t="s">
        <v>62</v>
      </c>
      <c r="D1" s="32" t="s">
        <v>16</v>
      </c>
      <c r="E1" s="32" t="s">
        <v>17</v>
      </c>
      <c r="F1" s="162" t="s">
        <v>18</v>
      </c>
      <c r="G1" s="174" t="s">
        <v>170</v>
      </c>
      <c r="H1" s="163" t="s">
        <v>19</v>
      </c>
      <c r="I1" s="33" t="s">
        <v>20</v>
      </c>
      <c r="J1" s="34" t="s">
        <v>21</v>
      </c>
      <c r="K1" s="35" t="s">
        <v>22</v>
      </c>
      <c r="L1" s="74" t="s">
        <v>50</v>
      </c>
      <c r="M1" s="21" t="s">
        <v>45</v>
      </c>
      <c r="N1" s="21" t="s">
        <v>46</v>
      </c>
      <c r="O1" s="21" t="s">
        <v>47</v>
      </c>
      <c r="P1" s="80" t="s">
        <v>54</v>
      </c>
      <c r="Q1" s="149" t="s">
        <v>164</v>
      </c>
      <c r="R1" s="149" t="s">
        <v>165</v>
      </c>
    </row>
    <row r="2" spans="1:18" ht="15.75" thickBot="1" x14ac:dyDescent="0.3">
      <c r="A2" s="27">
        <f>DATE(הגדרות!B7,הגדרות!B6,1)</f>
        <v>46753</v>
      </c>
      <c r="B2" s="28" t="str">
        <f>IF(A2="","",CHOOSE(WEEKDAY(A2,1),"ראשון","שני","שלישי","רביעי","חמישי","שישי","שבת"))</f>
        <v>שבת</v>
      </c>
      <c r="C2" s="86" t="str">
        <f>IF(A2="","",IF(WEEKDAY(A2,1)=7,"שבת","רגיל"))</f>
        <v>שבת</v>
      </c>
      <c r="D2" s="29">
        <v>0.33333333333333331</v>
      </c>
      <c r="E2" s="29">
        <v>0.79166666666666663</v>
      </c>
      <c r="F2" s="165">
        <f>IF(OR(D2="",E2=""),"", IF(E2&gt;=D2,(E2-D2)*24,(1-D2+E2)*24))</f>
        <v>11</v>
      </c>
      <c r="G2" s="164">
        <f>IF(F2="","",MAX(0,F2-הגדרות!$B$14/60))</f>
        <v>10.25</v>
      </c>
      <c r="H2" s="166">
        <f>IF(G2="","",IF(OR(C2="חג",C2="שבת"),0,MIN(G2,R2)))</f>
        <v>0</v>
      </c>
      <c r="I2" s="167">
        <f>IF(G2="","",IF(OR(C2="חג",C2="שבת"),0,MAX(0,MIN(2,G2-R2))))</f>
        <v>0</v>
      </c>
      <c r="J2" s="168">
        <f>IF(G2="","",IF(OR(C2="חג",C2="שבת"),G2,MAX(0,G2-R2-2)))</f>
        <v>10.25</v>
      </c>
      <c r="K2" s="169" t="str">
        <f>IF(A2="","",IF(F2="",IF(C2="שבת","שבת 🙏",IF(C2="חג","חג 🏷️","")),IF(F2&gt;12,"⚠️ חריגה יומית!",IF(C2="חג","חג 150%",IF(C2="שבת","שבת 150%",IF(G2&gt;R2,"שעות נוספות","תקין"))))))</f>
        <v>שבת 150%</v>
      </c>
      <c r="L2" s="75"/>
      <c r="M2" s="46" t="str">
        <f>IF(COUNTIF(P$2:P$32,(MIN(P$2:P$32)+0))=0,"","שבוע 1 ("&amp;DAY(_xlfn.MINIFS(A$2:A$32,P$2:P$32,(MIN(P$2:P$32)+0)))&amp;"-"&amp;DAY(_xlfn.MAXIFS(A$2:A$32,P$2:P$32,(MIN(P$2:P$32)+0)))&amp;")")</f>
        <v>שבוע 1 (1-1)</v>
      </c>
      <c r="N2" s="173">
        <f>IF(COUNTIF(P$2:P$32,(MIN(P$2:P$32)+0))=0,"",SUMIFS(G$2:G$32,P$2:P$32,(MIN(P$2:P$32)+0),G$2:G$32,"&lt;&gt;"))</f>
        <v>10.25</v>
      </c>
      <c r="O2" s="47" t="str">
        <f>IF(N2="","",IF(N2&gt;58,"⚠️ חריגה שבועית!",IF(N2&gt;50,"שימו לב","תקין")))</f>
        <v>תקין</v>
      </c>
      <c r="P2" s="81">
        <f>IF(A2="","",WEEKNUM(A2,1))</f>
        <v>1</v>
      </c>
      <c r="Q2" s="151" t="str">
        <f t="shared" ref="Q2:Q32" si="0">IF(OR(D2="",E2=""),"",IF(E2&gt;=D2,IF((MAX(0,MIN(E2,0.25)-MAX(D2,0))+MAX(0,MIN(E2,1)-MAX(D2,22/24)))*24&gt;=2,"לילה","רגיל"),IF((MAX(0,1-MAX(D2,22/24))+MAX(0,MIN(E2,0.25)))*24&gt;=2,"לילה","רגיל")))</f>
        <v>רגיל</v>
      </c>
      <c r="R2" s="150">
        <f>IF(A2="","",IF(Q2="לילה",הגדרות!$B$13,הגדרות!$B$11))</f>
        <v>8.6</v>
      </c>
    </row>
    <row r="3" spans="1:18" ht="15" thickBot="1" x14ac:dyDescent="0.25">
      <c r="A3" s="26">
        <f>IF(A2="","",IF(MONTH(A2+1)&lt;&gt;הגדרות!$B$6,"",A2+1))</f>
        <v>46754</v>
      </c>
      <c r="B3" s="28" t="str">
        <f t="shared" ref="B3:B32" si="1">IF(A3="","",CHOOSE(WEEKDAY(A3,1),"ראשון","שני","שלישי","רביעי","חמישי","שישי","שבת"))</f>
        <v>ראשון</v>
      </c>
      <c r="C3" s="86" t="str">
        <f t="shared" ref="C3:C32" si="2">IF(A3="","",IF(WEEKDAY(A3,1)=7,"שבת","רגיל"))</f>
        <v>רגיל</v>
      </c>
      <c r="D3" s="22">
        <v>0.375</v>
      </c>
      <c r="E3" s="22">
        <v>0.70833333333333337</v>
      </c>
      <c r="F3" s="30">
        <f t="shared" ref="F3:F32" si="3">IF(OR(D3="",E3=""),"", IF(E3&gt;=D3,(E3-D3)*24,(1-D3+E3)*24))</f>
        <v>8</v>
      </c>
      <c r="G3" s="164">
        <f>IF(F3="","",MAX(0,F3-הגדרות!$B$14/60))</f>
        <v>7.25</v>
      </c>
      <c r="H3" s="166">
        <f t="shared" ref="H3:H44" si="4">IF(G3="","",IF(OR(C3="חג",C3="שבת"),0,MIN(G3,R3)))</f>
        <v>7.25</v>
      </c>
      <c r="I3" s="167">
        <f t="shared" ref="I3:I44" si="5">IF(G3="","",IF(OR(C3="חג",C3="שבת"),0,MAX(0,MIN(2,G3-R3))))</f>
        <v>0</v>
      </c>
      <c r="J3" s="168">
        <f t="shared" ref="J3:J44" si="6">IF(G3="","",IF(OR(C3="חג",C3="שבת"),G3,MAX(0,G3-R3-2)))</f>
        <v>0</v>
      </c>
      <c r="K3" s="169" t="str">
        <f t="shared" ref="K3:K44" si="7">IF(A3="","",IF(F3="",IF(C3="שבת","שבת 🙏",IF(C3="חג","חג 🏷️","")),IF(F3&gt;12,"⚠️ חריגה יומית!",IF(C3="חג","חג 150%",IF(C3="שבת","שבת 150%",IF(G3&gt;R3,"שעות נוספות","תקין"))))))</f>
        <v>תקין</v>
      </c>
      <c r="L3" s="76">
        <f>IF(OR(E2="",D3=""),"",(D3-E2)*24+IF(D3&lt;E2,24,0))</f>
        <v>14</v>
      </c>
      <c r="P3" s="81">
        <f t="shared" ref="P3:P32" si="8">IF(A3="","",WEEKNUM(A3,1))</f>
        <v>2</v>
      </c>
      <c r="Q3" s="151" t="str">
        <f t="shared" si="0"/>
        <v>רגיל</v>
      </c>
      <c r="R3" s="150">
        <f>IF(A3="","",IF(Q3="לילה",הגדרות!$B$13,הגדרות!$B$11))</f>
        <v>8.6</v>
      </c>
    </row>
    <row r="4" spans="1:18" ht="15" thickBot="1" x14ac:dyDescent="0.25">
      <c r="A4" s="26">
        <f>IF(A3="","",IF(MONTH(A3+1)&lt;&gt;הגדרות!$B$6,"",A3+1))</f>
        <v>46755</v>
      </c>
      <c r="B4" s="28" t="str">
        <f t="shared" si="1"/>
        <v>שני</v>
      </c>
      <c r="C4" s="86" t="str">
        <f t="shared" si="2"/>
        <v>רגיל</v>
      </c>
      <c r="D4" s="22">
        <v>0.35416666666666669</v>
      </c>
      <c r="E4" s="22">
        <v>0.72916666666666663</v>
      </c>
      <c r="F4" s="30">
        <f t="shared" si="3"/>
        <v>8.9999999999999982</v>
      </c>
      <c r="G4" s="164">
        <f>IF(F4="","",MAX(0,F4-הגדרות!$B$14/60))</f>
        <v>8.2499999999999982</v>
      </c>
      <c r="H4" s="166">
        <f t="shared" si="4"/>
        <v>8.2499999999999982</v>
      </c>
      <c r="I4" s="167">
        <f t="shared" si="5"/>
        <v>0</v>
      </c>
      <c r="J4" s="168">
        <f t="shared" si="6"/>
        <v>0</v>
      </c>
      <c r="K4" s="169" t="str">
        <f t="shared" si="7"/>
        <v>תקין</v>
      </c>
      <c r="L4" s="76">
        <f t="shared" ref="L4:L32" si="9">IF(OR(E3="",D4=""),"",(D4-E3)*24+IF(D4&lt;E3,24,0))</f>
        <v>15.5</v>
      </c>
      <c r="P4" s="81">
        <f t="shared" si="8"/>
        <v>2</v>
      </c>
      <c r="Q4" s="151" t="str">
        <f t="shared" si="0"/>
        <v>רגיל</v>
      </c>
      <c r="R4" s="150">
        <f>IF(A4="","",IF(Q4="לילה",הגדרות!$B$13,הגדרות!$B$11))</f>
        <v>8.6</v>
      </c>
    </row>
    <row r="5" spans="1:18" ht="15" thickBot="1" x14ac:dyDescent="0.25">
      <c r="A5" s="26">
        <f>IF(A4="","",IF(MONTH(A4+1)&lt;&gt;הגדרות!$B$6,"",A4+1))</f>
        <v>46756</v>
      </c>
      <c r="B5" s="28" t="str">
        <f t="shared" si="1"/>
        <v>שלישי</v>
      </c>
      <c r="C5" s="86" t="str">
        <f t="shared" si="2"/>
        <v>רגיל</v>
      </c>
      <c r="D5" s="22">
        <v>0.89583333333333337</v>
      </c>
      <c r="E5" s="22">
        <v>0.29166666666666669</v>
      </c>
      <c r="F5" s="30">
        <f t="shared" si="3"/>
        <v>9.5</v>
      </c>
      <c r="G5" s="164">
        <f>IF(F5="","",MAX(0,F5-הגדרות!$B$14/60))</f>
        <v>8.75</v>
      </c>
      <c r="H5" s="166">
        <f t="shared" si="4"/>
        <v>7</v>
      </c>
      <c r="I5" s="167">
        <f t="shared" si="5"/>
        <v>1.75</v>
      </c>
      <c r="J5" s="168">
        <f t="shared" si="6"/>
        <v>0</v>
      </c>
      <c r="K5" s="169" t="str">
        <f t="shared" si="7"/>
        <v>שעות נוספות</v>
      </c>
      <c r="L5" s="76">
        <f t="shared" si="9"/>
        <v>4.0000000000000018</v>
      </c>
      <c r="P5" s="81">
        <f t="shared" si="8"/>
        <v>2</v>
      </c>
      <c r="Q5" s="151" t="str">
        <f t="shared" si="0"/>
        <v>לילה</v>
      </c>
      <c r="R5" s="150">
        <f>IF(A5="","",IF(Q5="לילה",הגדרות!$B$13,הגדרות!$B$11))</f>
        <v>7</v>
      </c>
    </row>
    <row r="6" spans="1:18" ht="15" thickBot="1" x14ac:dyDescent="0.25">
      <c r="A6" s="26">
        <f>IF(A5="","",IF(MONTH(A5+1)&lt;&gt;הגדרות!$B$6,"",A5+1))</f>
        <v>46757</v>
      </c>
      <c r="B6" s="28" t="str">
        <f t="shared" si="1"/>
        <v>רביעי</v>
      </c>
      <c r="C6" s="86" t="str">
        <f t="shared" si="2"/>
        <v>רגיל</v>
      </c>
      <c r="D6" s="22">
        <v>0.33333333333333331</v>
      </c>
      <c r="E6" s="22">
        <v>0.99930555555555556</v>
      </c>
      <c r="F6" s="30">
        <f t="shared" si="3"/>
        <v>15.983333333333333</v>
      </c>
      <c r="G6" s="164">
        <f>IF(F6="","",MAX(0,F6-הגדרות!$B$14/60))</f>
        <v>15.233333333333333</v>
      </c>
      <c r="H6" s="166">
        <f t="shared" si="4"/>
        <v>8.6</v>
      </c>
      <c r="I6" s="167">
        <f t="shared" si="5"/>
        <v>2</v>
      </c>
      <c r="J6" s="168">
        <f t="shared" si="6"/>
        <v>4.6333333333333329</v>
      </c>
      <c r="K6" s="169" t="str">
        <f t="shared" si="7"/>
        <v>⚠️ חריגה יומית!</v>
      </c>
      <c r="L6" s="76">
        <f t="shared" si="9"/>
        <v>0.99999999999999911</v>
      </c>
      <c r="P6" s="81">
        <f t="shared" si="8"/>
        <v>2</v>
      </c>
      <c r="Q6" s="151" t="str">
        <f t="shared" si="0"/>
        <v>רגיל</v>
      </c>
      <c r="R6" s="150">
        <f>IF(A6="","",IF(Q6="לילה",הגדרות!$B$13,הגדרות!$B$11))</f>
        <v>8.6</v>
      </c>
    </row>
    <row r="7" spans="1:18" ht="15" thickBot="1" x14ac:dyDescent="0.25">
      <c r="A7" s="26">
        <f>IF(A6="","",IF(MONTH(A6+1)&lt;&gt;הגדרות!$B$6,"",A6+1))</f>
        <v>46758</v>
      </c>
      <c r="B7" s="28" t="str">
        <f t="shared" si="1"/>
        <v>חמישי</v>
      </c>
      <c r="C7" s="86" t="str">
        <f t="shared" si="2"/>
        <v>רגיל</v>
      </c>
      <c r="D7" s="22"/>
      <c r="E7" s="22"/>
      <c r="F7" s="30" t="str">
        <f t="shared" si="3"/>
        <v/>
      </c>
      <c r="G7" s="164" t="str">
        <f>IF(F7="","",MAX(0,F7-הגדרות!$B$14/60))</f>
        <v/>
      </c>
      <c r="H7" s="166" t="str">
        <f t="shared" si="4"/>
        <v/>
      </c>
      <c r="I7" s="167" t="str">
        <f t="shared" si="5"/>
        <v/>
      </c>
      <c r="J7" s="168" t="str">
        <f t="shared" si="6"/>
        <v/>
      </c>
      <c r="K7" s="169" t="str">
        <f t="shared" si="7"/>
        <v/>
      </c>
      <c r="L7" s="76" t="str">
        <f t="shared" si="9"/>
        <v/>
      </c>
      <c r="P7" s="81">
        <f t="shared" si="8"/>
        <v>2</v>
      </c>
      <c r="Q7" s="151" t="str">
        <f t="shared" si="0"/>
        <v/>
      </c>
      <c r="R7" s="150">
        <f>IF(A7="","",IF(Q7="לילה",הגדרות!$B$13,הגדרות!$B$11))</f>
        <v>8.6</v>
      </c>
    </row>
    <row r="8" spans="1:18" ht="15" thickBot="1" x14ac:dyDescent="0.25">
      <c r="A8" s="26">
        <f>IF(A7="","",IF(MONTH(A7+1)&lt;&gt;הגדרות!$B$6,"",A7+1))</f>
        <v>46759</v>
      </c>
      <c r="B8" s="28" t="str">
        <f t="shared" si="1"/>
        <v>שישי</v>
      </c>
      <c r="C8" s="86" t="str">
        <f t="shared" si="2"/>
        <v>רגיל</v>
      </c>
      <c r="D8" s="22"/>
      <c r="E8" s="22"/>
      <c r="F8" s="30" t="str">
        <f t="shared" si="3"/>
        <v/>
      </c>
      <c r="G8" s="164" t="str">
        <f>IF(F8="","",MAX(0,F8-הגדרות!$B$14/60))</f>
        <v/>
      </c>
      <c r="H8" s="166" t="str">
        <f t="shared" si="4"/>
        <v/>
      </c>
      <c r="I8" s="167" t="str">
        <f t="shared" si="5"/>
        <v/>
      </c>
      <c r="J8" s="168" t="str">
        <f t="shared" si="6"/>
        <v/>
      </c>
      <c r="K8" s="169" t="str">
        <f t="shared" si="7"/>
        <v/>
      </c>
      <c r="L8" s="76" t="str">
        <f t="shared" si="9"/>
        <v/>
      </c>
      <c r="P8" s="81">
        <f t="shared" si="8"/>
        <v>2</v>
      </c>
      <c r="Q8" s="151" t="str">
        <f t="shared" si="0"/>
        <v/>
      </c>
      <c r="R8" s="150">
        <f>IF(A8="","",IF(Q8="לילה",הגדרות!$B$13,הגדרות!$B$11))</f>
        <v>8.6</v>
      </c>
    </row>
    <row r="9" spans="1:18" ht="15.75" thickBot="1" x14ac:dyDescent="0.3">
      <c r="A9" s="26">
        <f>IF(A8="","",IF(MONTH(A8+1)&lt;&gt;הגדרות!$B$6,"",A8+1))</f>
        <v>46760</v>
      </c>
      <c r="B9" s="28" t="str">
        <f t="shared" si="1"/>
        <v>שבת</v>
      </c>
      <c r="C9" s="86" t="str">
        <f t="shared" si="2"/>
        <v>שבת</v>
      </c>
      <c r="D9" s="22"/>
      <c r="E9" s="22"/>
      <c r="F9" s="30" t="str">
        <f t="shared" si="3"/>
        <v/>
      </c>
      <c r="G9" s="164" t="str">
        <f>IF(F9="","",MAX(0,F9-הגדרות!$B$14/60))</f>
        <v/>
      </c>
      <c r="H9" s="166" t="str">
        <f t="shared" si="4"/>
        <v/>
      </c>
      <c r="I9" s="167" t="str">
        <f t="shared" si="5"/>
        <v/>
      </c>
      <c r="J9" s="168" t="str">
        <f t="shared" si="6"/>
        <v/>
      </c>
      <c r="K9" s="169" t="str">
        <f t="shared" si="7"/>
        <v>שבת 🙏</v>
      </c>
      <c r="L9" s="76" t="str">
        <f t="shared" si="9"/>
        <v/>
      </c>
      <c r="M9" s="46" t="str">
        <f>IF(COUNTIF(P$2:P$32,(MIN(P$2:P$32)+1))=0,"","שבוע 2 ("&amp;DAY(_xlfn.MINIFS(A$2:A$32,P$2:P$32,(MIN(P$2:P$32)+1)))&amp;"-"&amp;DAY(_xlfn.MAXIFS(A$2:A$32,P$2:P$32,(MIN(P$2:P$32)+1)))&amp;")")</f>
        <v>שבוע 2 (2-8)</v>
      </c>
      <c r="N9" s="173">
        <f>IF(COUNTIF(P$2:P$32,(MIN(P$2:P$32)+1))=0,"",SUMIFS(G$2:G$32,P$2:P$32,(MIN(P$2:P$32)+1),G$2:G$32,"&lt;&gt;"))</f>
        <v>39.483333333333334</v>
      </c>
      <c r="O9" s="47" t="str">
        <f>IF(N9="","",IF(N9&gt;58,"⚠️ חריגה שבועית!",IF(N9&gt;50,"שימו לב","תקין")))</f>
        <v>תקין</v>
      </c>
      <c r="P9" s="81">
        <f t="shared" si="8"/>
        <v>2</v>
      </c>
      <c r="Q9" s="151" t="str">
        <f t="shared" si="0"/>
        <v/>
      </c>
      <c r="R9" s="150">
        <f>IF(A9="","",IF(Q9="לילה",הגדרות!$B$13,הגדרות!$B$11))</f>
        <v>8.6</v>
      </c>
    </row>
    <row r="10" spans="1:18" ht="15" thickBot="1" x14ac:dyDescent="0.25">
      <c r="A10" s="26">
        <f>IF(A9="","",IF(MONTH(A9+1)&lt;&gt;הגדרות!$B$6,"",A9+1))</f>
        <v>46761</v>
      </c>
      <c r="B10" s="28" t="str">
        <f t="shared" si="1"/>
        <v>ראשון</v>
      </c>
      <c r="C10" s="86" t="str">
        <f t="shared" si="2"/>
        <v>רגיל</v>
      </c>
      <c r="D10" s="22"/>
      <c r="E10" s="22"/>
      <c r="F10" s="30" t="str">
        <f t="shared" si="3"/>
        <v/>
      </c>
      <c r="G10" s="164" t="str">
        <f>IF(F10="","",MAX(0,F10-הגדרות!$B$14/60))</f>
        <v/>
      </c>
      <c r="H10" s="166" t="str">
        <f t="shared" si="4"/>
        <v/>
      </c>
      <c r="I10" s="167" t="str">
        <f t="shared" si="5"/>
        <v/>
      </c>
      <c r="J10" s="168" t="str">
        <f t="shared" si="6"/>
        <v/>
      </c>
      <c r="K10" s="169" t="str">
        <f t="shared" si="7"/>
        <v/>
      </c>
      <c r="L10" s="76" t="str">
        <f t="shared" si="9"/>
        <v/>
      </c>
      <c r="P10" s="81">
        <f t="shared" si="8"/>
        <v>3</v>
      </c>
      <c r="Q10" s="151" t="str">
        <f t="shared" si="0"/>
        <v/>
      </c>
      <c r="R10" s="150">
        <f>IF(A10="","",IF(Q10="לילה",הגדרות!$B$13,הגדרות!$B$11))</f>
        <v>8.6</v>
      </c>
    </row>
    <row r="11" spans="1:18" ht="15" thickBot="1" x14ac:dyDescent="0.25">
      <c r="A11" s="26">
        <f>IF(A10="","",IF(MONTH(A10+1)&lt;&gt;הגדרות!$B$6,"",A10+1))</f>
        <v>46762</v>
      </c>
      <c r="B11" s="28" t="str">
        <f t="shared" si="1"/>
        <v>שני</v>
      </c>
      <c r="C11" s="86" t="str">
        <f t="shared" si="2"/>
        <v>רגיל</v>
      </c>
      <c r="D11" s="22"/>
      <c r="E11" s="22"/>
      <c r="F11" s="30" t="str">
        <f t="shared" si="3"/>
        <v/>
      </c>
      <c r="G11" s="164" t="str">
        <f>IF(F11="","",MAX(0,F11-הגדרות!$B$14/60))</f>
        <v/>
      </c>
      <c r="H11" s="166" t="str">
        <f t="shared" si="4"/>
        <v/>
      </c>
      <c r="I11" s="167" t="str">
        <f t="shared" si="5"/>
        <v/>
      </c>
      <c r="J11" s="168" t="str">
        <f t="shared" si="6"/>
        <v/>
      </c>
      <c r="K11" s="169" t="str">
        <f t="shared" si="7"/>
        <v/>
      </c>
      <c r="L11" s="76" t="str">
        <f t="shared" si="9"/>
        <v/>
      </c>
      <c r="P11" s="81">
        <f t="shared" si="8"/>
        <v>3</v>
      </c>
      <c r="Q11" s="151" t="str">
        <f t="shared" si="0"/>
        <v/>
      </c>
      <c r="R11" s="150">
        <f>IF(A11="","",IF(Q11="לילה",הגדרות!$B$13,הגדרות!$B$11))</f>
        <v>8.6</v>
      </c>
    </row>
    <row r="12" spans="1:18" ht="15" thickBot="1" x14ac:dyDescent="0.25">
      <c r="A12" s="26">
        <f>IF(A11="","",IF(MONTH(A11+1)&lt;&gt;הגדרות!$B$6,"",A11+1))</f>
        <v>46763</v>
      </c>
      <c r="B12" s="28" t="str">
        <f t="shared" si="1"/>
        <v>שלישי</v>
      </c>
      <c r="C12" s="86" t="str">
        <f t="shared" si="2"/>
        <v>רגיל</v>
      </c>
      <c r="D12" s="22"/>
      <c r="E12" s="22"/>
      <c r="F12" s="30" t="str">
        <f t="shared" si="3"/>
        <v/>
      </c>
      <c r="G12" s="164" t="str">
        <f>IF(F12="","",MAX(0,F12-הגדרות!$B$14/60))</f>
        <v/>
      </c>
      <c r="H12" s="166" t="str">
        <f t="shared" si="4"/>
        <v/>
      </c>
      <c r="I12" s="167" t="str">
        <f t="shared" si="5"/>
        <v/>
      </c>
      <c r="J12" s="168" t="str">
        <f t="shared" si="6"/>
        <v/>
      </c>
      <c r="K12" s="169" t="str">
        <f t="shared" si="7"/>
        <v/>
      </c>
      <c r="L12" s="76" t="str">
        <f t="shared" si="9"/>
        <v/>
      </c>
      <c r="P12" s="81">
        <f t="shared" si="8"/>
        <v>3</v>
      </c>
      <c r="Q12" s="151" t="str">
        <f t="shared" si="0"/>
        <v/>
      </c>
      <c r="R12" s="150">
        <f>IF(A12="","",IF(Q12="לילה",הגדרות!$B$13,הגדרות!$B$11))</f>
        <v>8.6</v>
      </c>
    </row>
    <row r="13" spans="1:18" ht="15" thickBot="1" x14ac:dyDescent="0.25">
      <c r="A13" s="26">
        <f>IF(A12="","",IF(MONTH(A12+1)&lt;&gt;הגדרות!$B$6,"",A12+1))</f>
        <v>46764</v>
      </c>
      <c r="B13" s="28" t="str">
        <f t="shared" si="1"/>
        <v>רביעי</v>
      </c>
      <c r="C13" s="86" t="str">
        <f t="shared" si="2"/>
        <v>רגיל</v>
      </c>
      <c r="D13" s="22"/>
      <c r="E13" s="22"/>
      <c r="F13" s="30" t="str">
        <f t="shared" si="3"/>
        <v/>
      </c>
      <c r="G13" s="164" t="str">
        <f>IF(F13="","",MAX(0,F13-הגדרות!$B$14/60))</f>
        <v/>
      </c>
      <c r="H13" s="166" t="str">
        <f t="shared" si="4"/>
        <v/>
      </c>
      <c r="I13" s="167" t="str">
        <f t="shared" si="5"/>
        <v/>
      </c>
      <c r="J13" s="168" t="str">
        <f t="shared" si="6"/>
        <v/>
      </c>
      <c r="K13" s="169" t="str">
        <f t="shared" si="7"/>
        <v/>
      </c>
      <c r="L13" s="76" t="str">
        <f t="shared" si="9"/>
        <v/>
      </c>
      <c r="P13" s="81">
        <f t="shared" si="8"/>
        <v>3</v>
      </c>
      <c r="Q13" s="151" t="str">
        <f t="shared" si="0"/>
        <v/>
      </c>
      <c r="R13" s="150">
        <f>IF(A13="","",IF(Q13="לילה",הגדרות!$B$13,הגדרות!$B$11))</f>
        <v>8.6</v>
      </c>
    </row>
    <row r="14" spans="1:18" ht="15" thickBot="1" x14ac:dyDescent="0.25">
      <c r="A14" s="26">
        <f>IF(A13="","",IF(MONTH(A13+1)&lt;&gt;הגדרות!$B$6,"",A13+1))</f>
        <v>46765</v>
      </c>
      <c r="B14" s="28" t="str">
        <f t="shared" si="1"/>
        <v>חמישי</v>
      </c>
      <c r="C14" s="86" t="str">
        <f t="shared" si="2"/>
        <v>רגיל</v>
      </c>
      <c r="D14" s="22"/>
      <c r="E14" s="22"/>
      <c r="F14" s="30" t="str">
        <f t="shared" si="3"/>
        <v/>
      </c>
      <c r="G14" s="164" t="str">
        <f>IF(F14="","",MAX(0,F14-הגדרות!$B$14/60))</f>
        <v/>
      </c>
      <c r="H14" s="166" t="str">
        <f t="shared" si="4"/>
        <v/>
      </c>
      <c r="I14" s="167" t="str">
        <f t="shared" si="5"/>
        <v/>
      </c>
      <c r="J14" s="168" t="str">
        <f t="shared" si="6"/>
        <v/>
      </c>
      <c r="K14" s="169" t="str">
        <f t="shared" si="7"/>
        <v/>
      </c>
      <c r="L14" s="76" t="str">
        <f t="shared" si="9"/>
        <v/>
      </c>
      <c r="P14" s="81">
        <f t="shared" si="8"/>
        <v>3</v>
      </c>
      <c r="Q14" s="151" t="str">
        <f t="shared" si="0"/>
        <v/>
      </c>
      <c r="R14" s="150">
        <f>IF(A14="","",IF(Q14="לילה",הגדרות!$B$13,הגדרות!$B$11))</f>
        <v>8.6</v>
      </c>
    </row>
    <row r="15" spans="1:18" ht="15" thickBot="1" x14ac:dyDescent="0.25">
      <c r="A15" s="26">
        <f>IF(A14="","",IF(MONTH(A14+1)&lt;&gt;הגדרות!$B$6,"",A14+1))</f>
        <v>46766</v>
      </c>
      <c r="B15" s="28" t="str">
        <f t="shared" si="1"/>
        <v>שישי</v>
      </c>
      <c r="C15" s="86" t="str">
        <f t="shared" si="2"/>
        <v>רגיל</v>
      </c>
      <c r="D15" s="22"/>
      <c r="E15" s="22"/>
      <c r="F15" s="30" t="str">
        <f t="shared" si="3"/>
        <v/>
      </c>
      <c r="G15" s="164" t="str">
        <f>IF(F15="","",MAX(0,F15-הגדרות!$B$14/60))</f>
        <v/>
      </c>
      <c r="H15" s="166" t="str">
        <f t="shared" si="4"/>
        <v/>
      </c>
      <c r="I15" s="167" t="str">
        <f t="shared" si="5"/>
        <v/>
      </c>
      <c r="J15" s="168" t="str">
        <f t="shared" si="6"/>
        <v/>
      </c>
      <c r="K15" s="169" t="str">
        <f t="shared" si="7"/>
        <v/>
      </c>
      <c r="L15" s="76" t="str">
        <f t="shared" si="9"/>
        <v/>
      </c>
      <c r="P15" s="81">
        <f t="shared" si="8"/>
        <v>3</v>
      </c>
      <c r="Q15" s="151" t="str">
        <f t="shared" si="0"/>
        <v/>
      </c>
      <c r="R15" s="150">
        <f>IF(A15="","",IF(Q15="לילה",הגדרות!$B$13,הגדרות!$B$11))</f>
        <v>8.6</v>
      </c>
    </row>
    <row r="16" spans="1:18" ht="15.75" thickBot="1" x14ac:dyDescent="0.3">
      <c r="A16" s="26">
        <f>IF(A15="","",IF(MONTH(A15+1)&lt;&gt;הגדרות!$B$6,"",A15+1))</f>
        <v>46767</v>
      </c>
      <c r="B16" s="28" t="str">
        <f t="shared" si="1"/>
        <v>שבת</v>
      </c>
      <c r="C16" s="86" t="str">
        <f t="shared" si="2"/>
        <v>שבת</v>
      </c>
      <c r="D16" s="22"/>
      <c r="E16" s="22"/>
      <c r="F16" s="30" t="str">
        <f t="shared" si="3"/>
        <v/>
      </c>
      <c r="G16" s="164" t="str">
        <f>IF(F16="","",MAX(0,F16-הגדרות!$B$14/60))</f>
        <v/>
      </c>
      <c r="H16" s="166" t="str">
        <f t="shared" si="4"/>
        <v/>
      </c>
      <c r="I16" s="167" t="str">
        <f t="shared" si="5"/>
        <v/>
      </c>
      <c r="J16" s="168" t="str">
        <f t="shared" si="6"/>
        <v/>
      </c>
      <c r="K16" s="169" t="str">
        <f t="shared" si="7"/>
        <v>שבת 🙏</v>
      </c>
      <c r="L16" s="76" t="str">
        <f t="shared" si="9"/>
        <v/>
      </c>
      <c r="M16" s="46" t="str">
        <f>IF(COUNTIF(P$2:P$32,(MIN(P$2:P$32)+2))=0,"","שבוע 3 ("&amp;DAY(_xlfn.MINIFS(A$2:A$32,P$2:P$32,(MIN(P$2:P$32)+2)))&amp;"-"&amp;DAY(_xlfn.MAXIFS(A$2:A$32,P$2:P$32,(MIN(P$2:P$32)+2)))&amp;")")</f>
        <v>שבוע 3 (9-15)</v>
      </c>
      <c r="N16" s="173">
        <f>IF(COUNTIF(P$2:P$32,(MIN(P$2:P$32)+2))=0,"",SUMIFS(G$2:G$32,P$2:P$32,(MIN(P$2:P$32)+2),G$2:G$32,"&lt;&gt;"))</f>
        <v>0</v>
      </c>
      <c r="O16" s="47" t="str">
        <f>IF(N16="","",IF(N16&gt;58,"⚠️ חריגה שבועית!",IF(N16&gt;50,"שימו לב","תקין")))</f>
        <v>תקין</v>
      </c>
      <c r="P16" s="81">
        <f t="shared" si="8"/>
        <v>3</v>
      </c>
      <c r="Q16" s="151" t="str">
        <f t="shared" si="0"/>
        <v/>
      </c>
      <c r="R16" s="150">
        <f>IF(A16="","",IF(Q16="לילה",הגדרות!$B$13,הגדרות!$B$11))</f>
        <v>8.6</v>
      </c>
    </row>
    <row r="17" spans="1:18" ht="15" thickBot="1" x14ac:dyDescent="0.25">
      <c r="A17" s="26">
        <f>IF(A16="","",IF(MONTH(A16+1)&lt;&gt;הגדרות!$B$6,"",A16+1))</f>
        <v>46768</v>
      </c>
      <c r="B17" s="28" t="str">
        <f t="shared" si="1"/>
        <v>ראשון</v>
      </c>
      <c r="C17" s="86" t="str">
        <f t="shared" si="2"/>
        <v>רגיל</v>
      </c>
      <c r="D17" s="22"/>
      <c r="E17" s="22"/>
      <c r="F17" s="30" t="str">
        <f t="shared" si="3"/>
        <v/>
      </c>
      <c r="G17" s="164" t="str">
        <f>IF(F17="","",MAX(0,F17-הגדרות!$B$14/60))</f>
        <v/>
      </c>
      <c r="H17" s="166" t="str">
        <f t="shared" si="4"/>
        <v/>
      </c>
      <c r="I17" s="167" t="str">
        <f t="shared" si="5"/>
        <v/>
      </c>
      <c r="J17" s="168" t="str">
        <f t="shared" si="6"/>
        <v/>
      </c>
      <c r="K17" s="169" t="str">
        <f t="shared" si="7"/>
        <v/>
      </c>
      <c r="L17" s="76" t="str">
        <f t="shared" si="9"/>
        <v/>
      </c>
      <c r="P17" s="81">
        <f t="shared" si="8"/>
        <v>4</v>
      </c>
      <c r="Q17" s="151" t="str">
        <f t="shared" si="0"/>
        <v/>
      </c>
      <c r="R17" s="150">
        <f>IF(A17="","",IF(Q17="לילה",הגדרות!$B$13,הגדרות!$B$11))</f>
        <v>8.6</v>
      </c>
    </row>
    <row r="18" spans="1:18" ht="15" thickBot="1" x14ac:dyDescent="0.25">
      <c r="A18" s="26">
        <f>IF(A17="","",IF(MONTH(A17+1)&lt;&gt;הגדרות!$B$6,"",A17+1))</f>
        <v>46769</v>
      </c>
      <c r="B18" s="28" t="str">
        <f t="shared" si="1"/>
        <v>שני</v>
      </c>
      <c r="C18" s="86" t="str">
        <f t="shared" si="2"/>
        <v>רגיל</v>
      </c>
      <c r="D18" s="22"/>
      <c r="E18" s="22"/>
      <c r="F18" s="30" t="str">
        <f t="shared" si="3"/>
        <v/>
      </c>
      <c r="G18" s="164" t="str">
        <f>IF(F18="","",MAX(0,F18-הגדרות!$B$14/60))</f>
        <v/>
      </c>
      <c r="H18" s="166" t="str">
        <f t="shared" si="4"/>
        <v/>
      </c>
      <c r="I18" s="167" t="str">
        <f t="shared" si="5"/>
        <v/>
      </c>
      <c r="J18" s="168" t="str">
        <f t="shared" si="6"/>
        <v/>
      </c>
      <c r="K18" s="169" t="str">
        <f t="shared" si="7"/>
        <v/>
      </c>
      <c r="L18" s="76" t="str">
        <f t="shared" si="9"/>
        <v/>
      </c>
      <c r="P18" s="81">
        <f t="shared" si="8"/>
        <v>4</v>
      </c>
      <c r="Q18" s="151" t="str">
        <f t="shared" si="0"/>
        <v/>
      </c>
      <c r="R18" s="150">
        <f>IF(A18="","",IF(Q18="לילה",הגדרות!$B$13,הגדרות!$B$11))</f>
        <v>8.6</v>
      </c>
    </row>
    <row r="19" spans="1:18" ht="15" thickBot="1" x14ac:dyDescent="0.25">
      <c r="A19" s="26">
        <f>IF(A18="","",IF(MONTH(A18+1)&lt;&gt;הגדרות!$B$6,"",A18+1))</f>
        <v>46770</v>
      </c>
      <c r="B19" s="28" t="str">
        <f t="shared" si="1"/>
        <v>שלישי</v>
      </c>
      <c r="C19" s="86" t="str">
        <f t="shared" si="2"/>
        <v>רגיל</v>
      </c>
      <c r="D19" s="22"/>
      <c r="E19" s="22"/>
      <c r="F19" s="30" t="str">
        <f t="shared" si="3"/>
        <v/>
      </c>
      <c r="G19" s="164" t="str">
        <f>IF(F19="","",MAX(0,F19-הגדרות!$B$14/60))</f>
        <v/>
      </c>
      <c r="H19" s="166" t="str">
        <f t="shared" si="4"/>
        <v/>
      </c>
      <c r="I19" s="167" t="str">
        <f t="shared" si="5"/>
        <v/>
      </c>
      <c r="J19" s="168" t="str">
        <f t="shared" si="6"/>
        <v/>
      </c>
      <c r="K19" s="169" t="str">
        <f t="shared" si="7"/>
        <v/>
      </c>
      <c r="L19" s="76" t="str">
        <f t="shared" si="9"/>
        <v/>
      </c>
      <c r="P19" s="81">
        <f t="shared" si="8"/>
        <v>4</v>
      </c>
      <c r="Q19" s="151" t="str">
        <f t="shared" si="0"/>
        <v/>
      </c>
      <c r="R19" s="150">
        <f>IF(A19="","",IF(Q19="לילה",הגדרות!$B$13,הגדרות!$B$11))</f>
        <v>8.6</v>
      </c>
    </row>
    <row r="20" spans="1:18" ht="15" thickBot="1" x14ac:dyDescent="0.25">
      <c r="A20" s="26">
        <f>IF(A19="","",IF(MONTH(A19+1)&lt;&gt;הגדרות!$B$6,"",A19+1))</f>
        <v>46771</v>
      </c>
      <c r="B20" s="28" t="str">
        <f t="shared" si="1"/>
        <v>רביעי</v>
      </c>
      <c r="C20" s="86" t="str">
        <f t="shared" si="2"/>
        <v>רגיל</v>
      </c>
      <c r="D20" s="22"/>
      <c r="E20" s="22"/>
      <c r="F20" s="30" t="str">
        <f t="shared" si="3"/>
        <v/>
      </c>
      <c r="G20" s="164" t="str">
        <f>IF(F20="","",MAX(0,F20-הגדרות!$B$14/60))</f>
        <v/>
      </c>
      <c r="H20" s="166" t="str">
        <f t="shared" si="4"/>
        <v/>
      </c>
      <c r="I20" s="167" t="str">
        <f t="shared" si="5"/>
        <v/>
      </c>
      <c r="J20" s="168" t="str">
        <f t="shared" si="6"/>
        <v/>
      </c>
      <c r="K20" s="169" t="str">
        <f t="shared" si="7"/>
        <v/>
      </c>
      <c r="L20" s="76" t="str">
        <f t="shared" si="9"/>
        <v/>
      </c>
      <c r="P20" s="81">
        <f t="shared" si="8"/>
        <v>4</v>
      </c>
      <c r="Q20" s="151" t="str">
        <f t="shared" si="0"/>
        <v/>
      </c>
      <c r="R20" s="150">
        <f>IF(A20="","",IF(Q20="לילה",הגדרות!$B$13,הגדרות!$B$11))</f>
        <v>8.6</v>
      </c>
    </row>
    <row r="21" spans="1:18" ht="15" thickBot="1" x14ac:dyDescent="0.25">
      <c r="A21" s="26">
        <f>IF(A20="","",IF(MONTH(A20+1)&lt;&gt;הגדרות!$B$6,"",A20+1))</f>
        <v>46772</v>
      </c>
      <c r="B21" s="28" t="str">
        <f t="shared" si="1"/>
        <v>חמישי</v>
      </c>
      <c r="C21" s="86" t="str">
        <f t="shared" si="2"/>
        <v>רגיל</v>
      </c>
      <c r="D21" s="22"/>
      <c r="E21" s="22"/>
      <c r="F21" s="30" t="str">
        <f t="shared" si="3"/>
        <v/>
      </c>
      <c r="G21" s="164" t="str">
        <f>IF(F21="","",MAX(0,F21-הגדרות!$B$14/60))</f>
        <v/>
      </c>
      <c r="H21" s="166" t="str">
        <f t="shared" si="4"/>
        <v/>
      </c>
      <c r="I21" s="167" t="str">
        <f t="shared" si="5"/>
        <v/>
      </c>
      <c r="J21" s="168" t="str">
        <f t="shared" si="6"/>
        <v/>
      </c>
      <c r="K21" s="169" t="str">
        <f t="shared" si="7"/>
        <v/>
      </c>
      <c r="L21" s="76" t="str">
        <f t="shared" si="9"/>
        <v/>
      </c>
      <c r="P21" s="81">
        <f t="shared" si="8"/>
        <v>4</v>
      </c>
      <c r="Q21" s="151" t="str">
        <f t="shared" si="0"/>
        <v/>
      </c>
      <c r="R21" s="150">
        <f>IF(A21="","",IF(Q21="לילה",הגדרות!$B$13,הגדרות!$B$11))</f>
        <v>8.6</v>
      </c>
    </row>
    <row r="22" spans="1:18" ht="15" thickBot="1" x14ac:dyDescent="0.25">
      <c r="A22" s="26">
        <f>IF(A21="","",IF(MONTH(A21+1)&lt;&gt;הגדרות!$B$6,"",A21+1))</f>
        <v>46773</v>
      </c>
      <c r="B22" s="28" t="str">
        <f t="shared" si="1"/>
        <v>שישי</v>
      </c>
      <c r="C22" s="86" t="str">
        <f t="shared" si="2"/>
        <v>רגיל</v>
      </c>
      <c r="D22" s="22"/>
      <c r="E22" s="22"/>
      <c r="F22" s="30" t="str">
        <f t="shared" si="3"/>
        <v/>
      </c>
      <c r="G22" s="164" t="str">
        <f>IF(F22="","",MAX(0,F22-הגדרות!$B$14/60))</f>
        <v/>
      </c>
      <c r="H22" s="166" t="str">
        <f t="shared" si="4"/>
        <v/>
      </c>
      <c r="I22" s="167" t="str">
        <f t="shared" si="5"/>
        <v/>
      </c>
      <c r="J22" s="168" t="str">
        <f t="shared" si="6"/>
        <v/>
      </c>
      <c r="K22" s="169" t="str">
        <f t="shared" si="7"/>
        <v/>
      </c>
      <c r="L22" s="76" t="str">
        <f t="shared" si="9"/>
        <v/>
      </c>
      <c r="P22" s="81">
        <f t="shared" si="8"/>
        <v>4</v>
      </c>
      <c r="Q22" s="151" t="str">
        <f t="shared" si="0"/>
        <v/>
      </c>
      <c r="R22" s="150">
        <f>IF(A22="","",IF(Q22="לילה",הגדרות!$B$13,הגדרות!$B$11))</f>
        <v>8.6</v>
      </c>
    </row>
    <row r="23" spans="1:18" ht="15.75" thickBot="1" x14ac:dyDescent="0.3">
      <c r="A23" s="26">
        <f>IF(A22="","",IF(MONTH(A22+1)&lt;&gt;הגדרות!$B$6,"",A22+1))</f>
        <v>46774</v>
      </c>
      <c r="B23" s="28" t="str">
        <f t="shared" si="1"/>
        <v>שבת</v>
      </c>
      <c r="C23" s="86" t="str">
        <f t="shared" si="2"/>
        <v>שבת</v>
      </c>
      <c r="D23" s="22"/>
      <c r="E23" s="22"/>
      <c r="F23" s="30" t="str">
        <f t="shared" si="3"/>
        <v/>
      </c>
      <c r="G23" s="164" t="str">
        <f>IF(F23="","",MAX(0,F23-הגדרות!$B$14/60))</f>
        <v/>
      </c>
      <c r="H23" s="166" t="str">
        <f t="shared" si="4"/>
        <v/>
      </c>
      <c r="I23" s="167" t="str">
        <f t="shared" si="5"/>
        <v/>
      </c>
      <c r="J23" s="168" t="str">
        <f t="shared" si="6"/>
        <v/>
      </c>
      <c r="K23" s="169" t="str">
        <f t="shared" si="7"/>
        <v>שבת 🙏</v>
      </c>
      <c r="L23" s="76" t="str">
        <f t="shared" si="9"/>
        <v/>
      </c>
      <c r="M23" s="46" t="str">
        <f>IF(COUNTIF(P$2:P$32,(MIN(P$2:P$32)+3))=0,"","שבוע 4 ("&amp;DAY(_xlfn.MINIFS(A$2:A$32,P$2:P$32,(MIN(P$2:P$32)+3)))&amp;"-"&amp;DAY(_xlfn.MAXIFS(A$2:A$32,P$2:P$32,(MIN(P$2:P$32)+3)))&amp;")")</f>
        <v>שבוע 4 (16-22)</v>
      </c>
      <c r="N23" s="173">
        <f>IF(COUNTIF(P$2:P$32,(MIN(P$2:P$32)+3))=0,"",SUMIFS(G$2:G$32,P$2:P$32,(MIN(P$2:P$32)+3),G$2:G$32,"&lt;&gt;"))</f>
        <v>0</v>
      </c>
      <c r="O23" s="47" t="str">
        <f>IF(N23="","",IF(N23&gt;58,"⚠️ חריגה שבועית!",IF(N23&gt;50,"שימו לב","תקין")))</f>
        <v>תקין</v>
      </c>
      <c r="P23" s="81">
        <f t="shared" si="8"/>
        <v>4</v>
      </c>
      <c r="Q23" s="151" t="str">
        <f t="shared" si="0"/>
        <v/>
      </c>
      <c r="R23" s="150">
        <f>IF(A23="","",IF(Q23="לילה",הגדרות!$B$13,הגדרות!$B$11))</f>
        <v>8.6</v>
      </c>
    </row>
    <row r="24" spans="1:18" ht="15" thickBot="1" x14ac:dyDescent="0.25">
      <c r="A24" s="26">
        <f>IF(A23="","",IF(MONTH(A23+1)&lt;&gt;הגדרות!$B$6,"",A23+1))</f>
        <v>46775</v>
      </c>
      <c r="B24" s="28" t="str">
        <f t="shared" si="1"/>
        <v>ראשון</v>
      </c>
      <c r="C24" s="86" t="str">
        <f t="shared" si="2"/>
        <v>רגיל</v>
      </c>
      <c r="D24" s="22"/>
      <c r="E24" s="22"/>
      <c r="F24" s="30" t="str">
        <f t="shared" si="3"/>
        <v/>
      </c>
      <c r="G24" s="164" t="str">
        <f>IF(F24="","",MAX(0,F24-הגדרות!$B$14/60))</f>
        <v/>
      </c>
      <c r="H24" s="166" t="str">
        <f t="shared" si="4"/>
        <v/>
      </c>
      <c r="I24" s="167" t="str">
        <f t="shared" si="5"/>
        <v/>
      </c>
      <c r="J24" s="168" t="str">
        <f t="shared" si="6"/>
        <v/>
      </c>
      <c r="K24" s="169" t="str">
        <f t="shared" si="7"/>
        <v/>
      </c>
      <c r="L24" s="76" t="str">
        <f t="shared" si="9"/>
        <v/>
      </c>
      <c r="P24" s="81">
        <f t="shared" si="8"/>
        <v>5</v>
      </c>
      <c r="Q24" s="151" t="str">
        <f t="shared" si="0"/>
        <v/>
      </c>
      <c r="R24" s="150">
        <f>IF(A24="","",IF(Q24="לילה",הגדרות!$B$13,הגדרות!$B$11))</f>
        <v>8.6</v>
      </c>
    </row>
    <row r="25" spans="1:18" ht="15" thickBot="1" x14ac:dyDescent="0.25">
      <c r="A25" s="26">
        <f>IF(A24="","",IF(MONTH(A24+1)&lt;&gt;הגדרות!$B$6,"",A24+1))</f>
        <v>46776</v>
      </c>
      <c r="B25" s="28" t="str">
        <f t="shared" si="1"/>
        <v>שני</v>
      </c>
      <c r="C25" s="86" t="str">
        <f t="shared" si="2"/>
        <v>רגיל</v>
      </c>
      <c r="D25" s="22"/>
      <c r="E25" s="22"/>
      <c r="F25" s="30" t="str">
        <f t="shared" si="3"/>
        <v/>
      </c>
      <c r="G25" s="164" t="str">
        <f>IF(F25="","",MAX(0,F25-הגדרות!$B$14/60))</f>
        <v/>
      </c>
      <c r="H25" s="166" t="str">
        <f t="shared" si="4"/>
        <v/>
      </c>
      <c r="I25" s="167" t="str">
        <f t="shared" si="5"/>
        <v/>
      </c>
      <c r="J25" s="168" t="str">
        <f t="shared" si="6"/>
        <v/>
      </c>
      <c r="K25" s="169" t="str">
        <f t="shared" si="7"/>
        <v/>
      </c>
      <c r="L25" s="76" t="str">
        <f t="shared" si="9"/>
        <v/>
      </c>
      <c r="P25" s="81">
        <f t="shared" si="8"/>
        <v>5</v>
      </c>
      <c r="Q25" s="151" t="str">
        <f t="shared" si="0"/>
        <v/>
      </c>
      <c r="R25" s="150">
        <f>IF(A25="","",IF(Q25="לילה",הגדרות!$B$13,הגדרות!$B$11))</f>
        <v>8.6</v>
      </c>
    </row>
    <row r="26" spans="1:18" ht="15" thickBot="1" x14ac:dyDescent="0.25">
      <c r="A26" s="26">
        <f>IF(A25="","",IF(MONTH(A25+1)&lt;&gt;הגדרות!$B$6,"",A25+1))</f>
        <v>46777</v>
      </c>
      <c r="B26" s="28" t="str">
        <f t="shared" si="1"/>
        <v>שלישי</v>
      </c>
      <c r="C26" s="86" t="str">
        <f t="shared" si="2"/>
        <v>רגיל</v>
      </c>
      <c r="D26" s="22"/>
      <c r="E26" s="22"/>
      <c r="F26" s="30" t="str">
        <f t="shared" si="3"/>
        <v/>
      </c>
      <c r="G26" s="164" t="str">
        <f>IF(F26="","",MAX(0,F26-הגדרות!$B$14/60))</f>
        <v/>
      </c>
      <c r="H26" s="166" t="str">
        <f t="shared" si="4"/>
        <v/>
      </c>
      <c r="I26" s="167" t="str">
        <f t="shared" si="5"/>
        <v/>
      </c>
      <c r="J26" s="168" t="str">
        <f t="shared" si="6"/>
        <v/>
      </c>
      <c r="K26" s="169" t="str">
        <f t="shared" si="7"/>
        <v/>
      </c>
      <c r="L26" s="76" t="str">
        <f t="shared" si="9"/>
        <v/>
      </c>
      <c r="P26" s="81">
        <f t="shared" si="8"/>
        <v>5</v>
      </c>
      <c r="Q26" s="151" t="str">
        <f t="shared" si="0"/>
        <v/>
      </c>
      <c r="R26" s="150">
        <f>IF(A26="","",IF(Q26="לילה",הגדרות!$B$13,הגדרות!$B$11))</f>
        <v>8.6</v>
      </c>
    </row>
    <row r="27" spans="1:18" ht="15" thickBot="1" x14ac:dyDescent="0.25">
      <c r="A27" s="26">
        <f>IF(A26="","",IF(MONTH(A26+1)&lt;&gt;הגדרות!$B$6,"",A26+1))</f>
        <v>46778</v>
      </c>
      <c r="B27" s="28" t="str">
        <f t="shared" si="1"/>
        <v>רביעי</v>
      </c>
      <c r="C27" s="86" t="str">
        <f t="shared" si="2"/>
        <v>רגיל</v>
      </c>
      <c r="D27" s="22"/>
      <c r="E27" s="22"/>
      <c r="F27" s="30" t="str">
        <f t="shared" si="3"/>
        <v/>
      </c>
      <c r="G27" s="164" t="str">
        <f>IF(F27="","",MAX(0,F27-הגדרות!$B$14/60))</f>
        <v/>
      </c>
      <c r="H27" s="166" t="str">
        <f t="shared" si="4"/>
        <v/>
      </c>
      <c r="I27" s="167" t="str">
        <f t="shared" si="5"/>
        <v/>
      </c>
      <c r="J27" s="168" t="str">
        <f t="shared" si="6"/>
        <v/>
      </c>
      <c r="K27" s="169" t="str">
        <f t="shared" si="7"/>
        <v/>
      </c>
      <c r="L27" s="76" t="str">
        <f t="shared" si="9"/>
        <v/>
      </c>
      <c r="P27" s="81">
        <f t="shared" si="8"/>
        <v>5</v>
      </c>
      <c r="Q27" s="151" t="str">
        <f t="shared" si="0"/>
        <v/>
      </c>
      <c r="R27" s="150">
        <f>IF(A27="","",IF(Q27="לילה",הגדרות!$B$13,הגדרות!$B$11))</f>
        <v>8.6</v>
      </c>
    </row>
    <row r="28" spans="1:18" ht="15" thickBot="1" x14ac:dyDescent="0.25">
      <c r="A28" s="26">
        <f>IF(A27="","",IF(MONTH(A27+1)&lt;&gt;הגדרות!$B$6,"",A27+1))</f>
        <v>46779</v>
      </c>
      <c r="B28" s="28" t="str">
        <f t="shared" si="1"/>
        <v>חמישי</v>
      </c>
      <c r="C28" s="86" t="str">
        <f t="shared" si="2"/>
        <v>רגיל</v>
      </c>
      <c r="D28" s="22"/>
      <c r="E28" s="22"/>
      <c r="F28" s="30" t="str">
        <f t="shared" si="3"/>
        <v/>
      </c>
      <c r="G28" s="164" t="str">
        <f>IF(F28="","",MAX(0,F28-הגדרות!$B$14/60))</f>
        <v/>
      </c>
      <c r="H28" s="166" t="str">
        <f t="shared" si="4"/>
        <v/>
      </c>
      <c r="I28" s="167" t="str">
        <f t="shared" si="5"/>
        <v/>
      </c>
      <c r="J28" s="168" t="str">
        <f t="shared" si="6"/>
        <v/>
      </c>
      <c r="K28" s="169" t="str">
        <f t="shared" si="7"/>
        <v/>
      </c>
      <c r="L28" s="76" t="str">
        <f t="shared" si="9"/>
        <v/>
      </c>
      <c r="P28" s="81">
        <f t="shared" si="8"/>
        <v>5</v>
      </c>
      <c r="Q28" s="151" t="str">
        <f t="shared" si="0"/>
        <v/>
      </c>
      <c r="R28" s="150">
        <f>IF(A28="","",IF(Q28="לילה",הגדרות!$B$13,הגדרות!$B$11))</f>
        <v>8.6</v>
      </c>
    </row>
    <row r="29" spans="1:18" ht="15" thickBot="1" x14ac:dyDescent="0.25">
      <c r="A29" s="26">
        <f>IF(A28="","",IF(MONTH(A28+1)&lt;&gt;הגדרות!$B$6,"",A28+1))</f>
        <v>46780</v>
      </c>
      <c r="B29" s="28" t="str">
        <f t="shared" si="1"/>
        <v>שישי</v>
      </c>
      <c r="C29" s="86" t="str">
        <f t="shared" si="2"/>
        <v>רגיל</v>
      </c>
      <c r="D29" s="22"/>
      <c r="E29" s="22"/>
      <c r="F29" s="30" t="str">
        <f t="shared" si="3"/>
        <v/>
      </c>
      <c r="G29" s="164" t="str">
        <f>IF(F29="","",MAX(0,F29-הגדרות!$B$14/60))</f>
        <v/>
      </c>
      <c r="H29" s="166" t="str">
        <f t="shared" si="4"/>
        <v/>
      </c>
      <c r="I29" s="167" t="str">
        <f t="shared" si="5"/>
        <v/>
      </c>
      <c r="J29" s="168" t="str">
        <f t="shared" si="6"/>
        <v/>
      </c>
      <c r="K29" s="169" t="str">
        <f t="shared" si="7"/>
        <v/>
      </c>
      <c r="L29" s="76" t="str">
        <f t="shared" si="9"/>
        <v/>
      </c>
      <c r="P29" s="81">
        <f t="shared" si="8"/>
        <v>5</v>
      </c>
      <c r="Q29" s="151" t="str">
        <f t="shared" si="0"/>
        <v/>
      </c>
      <c r="R29" s="150">
        <f>IF(A29="","",IF(Q29="לילה",הגדרות!$B$13,הגדרות!$B$11))</f>
        <v>8.6</v>
      </c>
    </row>
    <row r="30" spans="1:18" ht="15.75" thickBot="1" x14ac:dyDescent="0.3">
      <c r="A30" s="26">
        <f>IF(A29="","",IF(MONTH(A29+1)&lt;&gt;הגדרות!$B$6,"",A29+1))</f>
        <v>46781</v>
      </c>
      <c r="B30" s="28" t="str">
        <f t="shared" si="1"/>
        <v>שבת</v>
      </c>
      <c r="C30" s="86" t="str">
        <f t="shared" si="2"/>
        <v>שבת</v>
      </c>
      <c r="D30" s="22"/>
      <c r="E30" s="22"/>
      <c r="F30" s="30" t="str">
        <f t="shared" si="3"/>
        <v/>
      </c>
      <c r="G30" s="164" t="str">
        <f>IF(F30="","",MAX(0,F30-הגדרות!$B$14/60))</f>
        <v/>
      </c>
      <c r="H30" s="166" t="str">
        <f t="shared" si="4"/>
        <v/>
      </c>
      <c r="I30" s="167" t="str">
        <f t="shared" si="5"/>
        <v/>
      </c>
      <c r="J30" s="168" t="str">
        <f t="shared" si="6"/>
        <v/>
      </c>
      <c r="K30" s="169" t="str">
        <f t="shared" si="7"/>
        <v>שבת 🙏</v>
      </c>
      <c r="L30" s="76" t="str">
        <f t="shared" si="9"/>
        <v/>
      </c>
      <c r="M30" s="46" t="str">
        <f>IF(COUNTIF(P$2:P$32,(MIN(P$2:P$32)+4))=0,"","שבוע 5 ("&amp;DAY(_xlfn.MINIFS(A$2:A$32,P$2:P$32,(MIN(P$2:P$32)+4)))&amp;"-"&amp;DAY(_xlfn.MAXIFS(A$2:A$32,P$2:P$32,(MIN(P$2:P$32)+4)))&amp;")")</f>
        <v>שבוע 5 (23-29)</v>
      </c>
      <c r="N30" s="173">
        <f>IF(COUNTIF(P$2:P$32,(MIN(P$2:P$32)+4))=0,"",SUMIFS(G$2:G$32,P$2:P$32,(MIN(P$2:P$32)+4),G$2:G$32,"&lt;&gt;"))</f>
        <v>0</v>
      </c>
      <c r="O30" s="47" t="str">
        <f>IF(N30="","",IF(N30&gt;58,"⚠️ חריגה שבועית!",IF(N30&gt;50,"שימו לב","תקין")))</f>
        <v>תקין</v>
      </c>
      <c r="P30" s="81">
        <f t="shared" si="8"/>
        <v>5</v>
      </c>
      <c r="Q30" s="151" t="str">
        <f t="shared" si="0"/>
        <v/>
      </c>
      <c r="R30" s="150">
        <f>IF(A30="","",IF(Q30="לילה",הגדרות!$B$13,הגדרות!$B$11))</f>
        <v>8.6</v>
      </c>
    </row>
    <row r="31" spans="1:18" ht="15" thickBot="1" x14ac:dyDescent="0.25">
      <c r="A31" s="26">
        <f>IF(A30="","",IF(MONTH(A30+1)&lt;&gt;הגדרות!$B$6,"",A30+1))</f>
        <v>46782</v>
      </c>
      <c r="B31" s="28" t="str">
        <f t="shared" si="1"/>
        <v>ראשון</v>
      </c>
      <c r="C31" s="86" t="str">
        <f t="shared" si="2"/>
        <v>רגיל</v>
      </c>
      <c r="D31" s="22"/>
      <c r="E31" s="22"/>
      <c r="F31" s="30" t="str">
        <f t="shared" si="3"/>
        <v/>
      </c>
      <c r="G31" s="164" t="str">
        <f>IF(F31="","",MAX(0,F31-הגדרות!$B$14/60))</f>
        <v/>
      </c>
      <c r="H31" s="166" t="str">
        <f t="shared" si="4"/>
        <v/>
      </c>
      <c r="I31" s="167" t="str">
        <f t="shared" si="5"/>
        <v/>
      </c>
      <c r="J31" s="168" t="str">
        <f t="shared" si="6"/>
        <v/>
      </c>
      <c r="K31" s="169" t="str">
        <f t="shared" si="7"/>
        <v/>
      </c>
      <c r="L31" s="76" t="str">
        <f t="shared" si="9"/>
        <v/>
      </c>
      <c r="P31" s="81">
        <f t="shared" si="8"/>
        <v>6</v>
      </c>
      <c r="Q31" s="151" t="str">
        <f t="shared" si="0"/>
        <v/>
      </c>
      <c r="R31" s="150">
        <f>IF(A31="","",IF(Q31="לילה",הגדרות!$B$13,הגדרות!$B$11))</f>
        <v>8.6</v>
      </c>
    </row>
    <row r="32" spans="1:18" ht="15" thickBot="1" x14ac:dyDescent="0.25">
      <c r="A32" s="26">
        <f>IF(A31="","",IF(MONTH(A31+1)&lt;&gt;הגדרות!$B$6,"",A31+1))</f>
        <v>46783</v>
      </c>
      <c r="B32" s="28" t="str">
        <f t="shared" si="1"/>
        <v>שני</v>
      </c>
      <c r="C32" s="86" t="str">
        <f t="shared" si="2"/>
        <v>רגיל</v>
      </c>
      <c r="D32" s="36"/>
      <c r="E32" s="36"/>
      <c r="F32" s="30" t="str">
        <f t="shared" si="3"/>
        <v/>
      </c>
      <c r="G32" s="164" t="str">
        <f>IF(F32="","",MAX(0,F32-הגדרות!$B$14/60))</f>
        <v/>
      </c>
      <c r="H32" s="166" t="str">
        <f t="shared" si="4"/>
        <v/>
      </c>
      <c r="I32" s="167" t="str">
        <f t="shared" si="5"/>
        <v/>
      </c>
      <c r="J32" s="168" t="str">
        <f t="shared" si="6"/>
        <v/>
      </c>
      <c r="K32" s="169" t="str">
        <f t="shared" si="7"/>
        <v/>
      </c>
      <c r="L32" s="76" t="str">
        <f t="shared" si="9"/>
        <v/>
      </c>
      <c r="P32" s="81">
        <f t="shared" si="8"/>
        <v>6</v>
      </c>
      <c r="Q32" s="151" t="str">
        <f t="shared" si="0"/>
        <v/>
      </c>
      <c r="R32" s="150">
        <f>IF(A32="","",IF(Q32="לילה",הגדרות!$B$13,הגדרות!$B$11))</f>
        <v>8.6</v>
      </c>
    </row>
    <row r="33" spans="1:15" ht="16.5" thickBot="1" x14ac:dyDescent="0.3">
      <c r="A33" s="37"/>
      <c r="B33" s="38" t="s">
        <v>23</v>
      </c>
      <c r="C33" s="38"/>
      <c r="D33" s="39"/>
      <c r="E33" s="39"/>
      <c r="F33" s="40">
        <f>SUMIF(F2:F32,"&gt;0")</f>
        <v>53.483333333333334</v>
      </c>
      <c r="G33" s="170">
        <f>SUMIF(G2:G32,"&gt;0")</f>
        <v>49.733333333333334</v>
      </c>
      <c r="H33" s="171">
        <f>SUMIF(H2:H32,"&gt;0")</f>
        <v>31.1</v>
      </c>
      <c r="I33" s="172">
        <f>SUMIF(I2:I32,"&gt;0")</f>
        <v>3.75</v>
      </c>
      <c r="J33" s="172">
        <f>SUMIF(J2:J32,"&gt;0")</f>
        <v>14.883333333333333</v>
      </c>
      <c r="K33" s="169" t="str">
        <f t="shared" si="7"/>
        <v/>
      </c>
    </row>
    <row r="34" spans="1:15" ht="15" thickBot="1" x14ac:dyDescent="0.25">
      <c r="G34" s="164" t="str">
        <f>IF(F34="","",MAX(0,F34-הגדרות!$B$14/60))</f>
        <v/>
      </c>
      <c r="H34" s="166" t="str">
        <f t="shared" si="4"/>
        <v/>
      </c>
      <c r="I34" s="167" t="str">
        <f t="shared" si="5"/>
        <v/>
      </c>
      <c r="J34" s="168" t="str">
        <f t="shared" si="6"/>
        <v/>
      </c>
      <c r="K34" s="169" t="str">
        <f t="shared" si="7"/>
        <v/>
      </c>
    </row>
    <row r="35" spans="1:15" ht="17.25" thickBot="1" x14ac:dyDescent="0.3">
      <c r="A35" s="82" t="s">
        <v>55</v>
      </c>
      <c r="G35" s="164" t="str">
        <f>IF(F35="","",MAX(0,F35-הגדרות!$B$14/60))</f>
        <v/>
      </c>
      <c r="H35" s="166" t="str">
        <f t="shared" si="4"/>
        <v/>
      </c>
      <c r="I35" s="167" t="str">
        <f t="shared" si="5"/>
        <v/>
      </c>
      <c r="J35" s="168" t="str">
        <f t="shared" si="6"/>
        <v/>
      </c>
      <c r="K35" s="169" t="str">
        <f t="shared" si="7"/>
        <v/>
      </c>
      <c r="M35" s="20" t="s">
        <v>48</v>
      </c>
      <c r="N35" s="158" t="s">
        <v>49</v>
      </c>
      <c r="O35" s="159"/>
    </row>
    <row r="36" spans="1:15" ht="15" thickBot="1" x14ac:dyDescent="0.25">
      <c r="A36" s="83" t="s">
        <v>56</v>
      </c>
      <c r="G36" s="164" t="str">
        <f>IF(F36="","",MAX(0,F36-הגדרות!$B$14/60))</f>
        <v/>
      </c>
      <c r="H36" s="166" t="str">
        <f t="shared" si="4"/>
        <v/>
      </c>
      <c r="I36" s="167" t="str">
        <f t="shared" si="5"/>
        <v/>
      </c>
      <c r="J36" s="168" t="str">
        <f t="shared" si="6"/>
        <v/>
      </c>
      <c r="K36" s="169" t="str">
        <f t="shared" si="7"/>
        <v/>
      </c>
    </row>
    <row r="37" spans="1:15" ht="15" thickBot="1" x14ac:dyDescent="0.25">
      <c r="A37" s="84"/>
      <c r="G37" s="164" t="str">
        <f>IF(F37="","",MAX(0,F37-הגדרות!$B$14/60))</f>
        <v/>
      </c>
      <c r="H37" s="166" t="str">
        <f t="shared" si="4"/>
        <v/>
      </c>
      <c r="I37" s="167" t="str">
        <f t="shared" si="5"/>
        <v/>
      </c>
      <c r="J37" s="168" t="str">
        <f t="shared" si="6"/>
        <v/>
      </c>
      <c r="K37" s="169" t="str">
        <f t="shared" si="7"/>
        <v/>
      </c>
    </row>
    <row r="38" spans="1:15" ht="15" thickBot="1" x14ac:dyDescent="0.25">
      <c r="A38" s="83" t="s">
        <v>57</v>
      </c>
      <c r="G38" s="164" t="str">
        <f>IF(F38="","",MAX(0,F38-הגדרות!$B$14/60))</f>
        <v/>
      </c>
      <c r="H38" s="166" t="str">
        <f t="shared" si="4"/>
        <v/>
      </c>
      <c r="I38" s="167" t="str">
        <f t="shared" si="5"/>
        <v/>
      </c>
      <c r="J38" s="168" t="str">
        <f t="shared" si="6"/>
        <v/>
      </c>
      <c r="K38" s="169" t="str">
        <f t="shared" si="7"/>
        <v/>
      </c>
    </row>
    <row r="39" spans="1:15" ht="15" thickBot="1" x14ac:dyDescent="0.25">
      <c r="A39" s="83" t="s">
        <v>58</v>
      </c>
      <c r="G39" s="164" t="str">
        <f>IF(F39="","",MAX(0,F39-הגדרות!$B$14/60))</f>
        <v/>
      </c>
      <c r="H39" s="166" t="str">
        <f t="shared" si="4"/>
        <v/>
      </c>
      <c r="I39" s="167" t="str">
        <f t="shared" si="5"/>
        <v/>
      </c>
      <c r="J39" s="168" t="str">
        <f t="shared" si="6"/>
        <v/>
      </c>
      <c r="K39" s="169" t="str">
        <f t="shared" si="7"/>
        <v/>
      </c>
    </row>
    <row r="40" spans="1:15" ht="15" thickBot="1" x14ac:dyDescent="0.25">
      <c r="A40" s="83" t="s">
        <v>59</v>
      </c>
      <c r="G40" s="164" t="str">
        <f>IF(F40="","",MAX(0,F40-הגדרות!$B$14/60))</f>
        <v/>
      </c>
      <c r="H40" s="166" t="str">
        <f t="shared" si="4"/>
        <v/>
      </c>
      <c r="I40" s="167" t="str">
        <f t="shared" si="5"/>
        <v/>
      </c>
      <c r="J40" s="168" t="str">
        <f t="shared" si="6"/>
        <v/>
      </c>
      <c r="K40" s="169" t="str">
        <f t="shared" si="7"/>
        <v/>
      </c>
    </row>
    <row r="41" spans="1:15" ht="15" thickBot="1" x14ac:dyDescent="0.25">
      <c r="A41" s="83" t="s">
        <v>60</v>
      </c>
      <c r="G41" s="164" t="str">
        <f>IF(F41="","",MAX(0,F41-הגדרות!$B$14/60))</f>
        <v/>
      </c>
      <c r="H41" s="166" t="str">
        <f t="shared" si="4"/>
        <v/>
      </c>
      <c r="I41" s="167" t="str">
        <f t="shared" si="5"/>
        <v/>
      </c>
      <c r="J41" s="168" t="str">
        <f t="shared" si="6"/>
        <v/>
      </c>
      <c r="K41" s="169" t="str">
        <f t="shared" si="7"/>
        <v/>
      </c>
    </row>
    <row r="42" spans="1:15" ht="15" thickBot="1" x14ac:dyDescent="0.25">
      <c r="A42" s="156" t="s">
        <v>167</v>
      </c>
      <c r="G42" s="164" t="str">
        <f>IF(F42="","",MAX(0,F42-הגדרות!$B$14/60))</f>
        <v/>
      </c>
      <c r="H42" s="166" t="str">
        <f t="shared" si="4"/>
        <v/>
      </c>
      <c r="I42" s="167" t="str">
        <f t="shared" si="5"/>
        <v/>
      </c>
      <c r="J42" s="168" t="str">
        <f t="shared" si="6"/>
        <v/>
      </c>
      <c r="K42" s="169" t="str">
        <f t="shared" si="7"/>
        <v/>
      </c>
    </row>
    <row r="43" spans="1:15" ht="15" thickBot="1" x14ac:dyDescent="0.25">
      <c r="A43" s="156" t="s">
        <v>171</v>
      </c>
      <c r="G43" s="164" t="str">
        <f>IF(F43="","",MAX(0,F43-הגדרות!$B$14/60))</f>
        <v/>
      </c>
      <c r="H43" s="166" t="str">
        <f t="shared" si="4"/>
        <v/>
      </c>
      <c r="I43" s="167" t="str">
        <f t="shared" si="5"/>
        <v/>
      </c>
      <c r="J43" s="168" t="str">
        <f t="shared" si="6"/>
        <v/>
      </c>
      <c r="K43" s="169" t="str">
        <f t="shared" si="7"/>
        <v/>
      </c>
    </row>
    <row r="44" spans="1:15" x14ac:dyDescent="0.2">
      <c r="A44" s="157" t="s">
        <v>61</v>
      </c>
      <c r="G44" s="164" t="str">
        <f>IF(F44="","",MAX(0,F44-הגדרות!$B$14/60))</f>
        <v/>
      </c>
      <c r="H44" s="166" t="str">
        <f t="shared" si="4"/>
        <v/>
      </c>
      <c r="I44" s="167" t="str">
        <f t="shared" si="5"/>
        <v/>
      </c>
      <c r="J44" s="168" t="str">
        <f t="shared" si="6"/>
        <v/>
      </c>
      <c r="K44" s="169" t="str">
        <f t="shared" si="7"/>
        <v/>
      </c>
    </row>
  </sheetData>
  <mergeCells count="1">
    <mergeCell ref="N35:O35"/>
  </mergeCells>
  <conditionalFormatting sqref="A2:C32">
    <cfRule type="expression" dxfId="17" priority="32">
      <formula>WEEKDAY($A2,1)=6</formula>
    </cfRule>
  </conditionalFormatting>
  <conditionalFormatting sqref="A2:E32">
    <cfRule type="expression" dxfId="16" priority="18" stopIfTrue="1">
      <formula>WEEKDAY($A2,1)=7</formula>
    </cfRule>
  </conditionalFormatting>
  <conditionalFormatting sqref="C2:C32">
    <cfRule type="containsText" dxfId="15" priority="33" operator="containsText" text="חג">
      <formula>NOT(ISERROR(SEARCH("חג",C2)))</formula>
    </cfRule>
    <cfRule type="containsText" dxfId="14" priority="34" operator="containsText" text="שבת">
      <formula>NOT(ISERROR(SEARCH("שבת",C2)))</formula>
    </cfRule>
  </conditionalFormatting>
  <conditionalFormatting sqref="D2:K2 D3:F32 G3:K44">
    <cfRule type="expression" dxfId="13" priority="1" stopIfTrue="1">
      <formula>$C2="חג"</formula>
    </cfRule>
  </conditionalFormatting>
  <conditionalFormatting sqref="F2:G2 F3:F32 G3:G44">
    <cfRule type="expression" dxfId="12" priority="2" stopIfTrue="1">
      <formula>WEEKDAY($A2,1)=7</formula>
    </cfRule>
    <cfRule type="cellIs" dxfId="11" priority="3" operator="greaterThan">
      <formula>12</formula>
    </cfRule>
    <cfRule type="cellIs" dxfId="10" priority="4" operator="greaterThan">
      <formula>8.6</formula>
    </cfRule>
  </conditionalFormatting>
  <conditionalFormatting sqref="H2:J44">
    <cfRule type="expression" dxfId="9" priority="24" stopIfTrue="1">
      <formula>WEEKDAY($A2,1)=7</formula>
    </cfRule>
  </conditionalFormatting>
  <conditionalFormatting sqref="K2:K44">
    <cfRule type="containsText" dxfId="8" priority="6" operator="containsText" text="חריגה">
      <formula>NOT(ISERROR(SEARCH("חריגה",K2)))</formula>
    </cfRule>
    <cfRule type="containsText" dxfId="7" priority="7" operator="containsText" text="תקין">
      <formula>NOT(ISERROR(SEARCH("תקין",K2)))</formula>
    </cfRule>
    <cfRule type="containsText" dxfId="6" priority="8" operator="containsText" text="שעות נוספות">
      <formula>NOT(ISERROR(SEARCH("שעות נוספות",K2)))</formula>
    </cfRule>
    <cfRule type="expression" dxfId="5" priority="15">
      <formula>WEEKDAY($A2,1)=7</formula>
    </cfRule>
  </conditionalFormatting>
  <conditionalFormatting sqref="L3:L32">
    <cfRule type="cellIs" dxfId="4" priority="10" operator="lessThan">
      <formula>8</formula>
    </cfRule>
    <cfRule type="cellIs" dxfId="3" priority="11" operator="greaterThanOrEqual">
      <formula>8</formula>
    </cfRule>
  </conditionalFormatting>
  <conditionalFormatting sqref="N2:N32">
    <cfRule type="cellIs" dxfId="2" priority="9" operator="greaterThan">
      <formula>58</formula>
    </cfRule>
  </conditionalFormatting>
  <conditionalFormatting sqref="Q2:Q32">
    <cfRule type="containsText" dxfId="1" priority="35" operator="containsText" text="לילה">
      <formula>NOT(ISERROR(SEARCH("לילה",Q2)))</formula>
    </cfRule>
    <cfRule type="containsText" dxfId="0" priority="36" operator="containsText" text="רגיל">
      <formula>NOT(ISERROR(SEARCH("רגיל",Q2)))</formula>
    </cfRule>
  </conditionalFormatting>
  <dataValidations count="3">
    <dataValidation type="time" allowBlank="1" showInputMessage="1" showErrorMessage="1" errorTitle="שעה לא תקינה" error="נא להזין שעה בפורמט HH:MM (לדוגמה 08:00)" promptTitle="שעת כניסה" prompt="הזן שעת כניסה בפורמט HH:MM" sqref="D2:D32" xr:uid="{F1E8575C-4ABD-480C-A517-304A3EA70593}">
      <formula1>0</formula1>
      <formula2>0.999305555555556</formula2>
    </dataValidation>
    <dataValidation type="time" allowBlank="1" showInputMessage="1" showErrorMessage="1" errorTitle="שעה לא תקינה" error="נא להזין שעה בפורמט HH:MM (לדוגמה 17:00)" promptTitle="שעת יציאה" prompt="הזן שעת יציאה בפורמט HH:MM" sqref="E2:E32" xr:uid="{6718339A-6121-43C0-A696-61C550941123}">
      <formula1>0</formula1>
      <formula2>0.999305555555556</formula2>
    </dataValidation>
    <dataValidation type="list" allowBlank="1" showInputMessage="1" showErrorMessage="1" promptTitle="סוג יום" prompt="בחר: רגיל / חג / שבת" sqref="C2:C32" xr:uid="{C789004D-9226-427D-9D73-35569A895711}">
      <formula1>"רגיל,חג,שבת"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8FA3-FBF1-4BFE-810B-CC6F15497322}">
  <dimension ref="A1:G51"/>
  <sheetViews>
    <sheetView rightToLeft="1" workbookViewId="0">
      <selection activeCell="A4" sqref="A4:D18"/>
    </sheetView>
  </sheetViews>
  <sheetFormatPr defaultRowHeight="14.25" outlineLevelRow="2" x14ac:dyDescent="0.2"/>
  <cols>
    <col min="1" max="1" width="33.25" customWidth="1"/>
    <col min="2" max="4" width="20" customWidth="1"/>
    <col min="5" max="5" width="2.5" customWidth="1"/>
    <col min="6" max="6" width="21.75" customWidth="1"/>
    <col min="7" max="7" width="13.25" customWidth="1"/>
  </cols>
  <sheetData>
    <row r="1" spans="1:7" ht="23.25" x14ac:dyDescent="0.35">
      <c r="A1" s="1" t="s">
        <v>24</v>
      </c>
    </row>
    <row r="2" spans="1:7" ht="15" thickBot="1" x14ac:dyDescent="0.25"/>
    <row r="3" spans="1:7" ht="15.75" x14ac:dyDescent="0.25">
      <c r="A3" s="54" t="s">
        <v>25</v>
      </c>
      <c r="B3" s="52" t="s">
        <v>26</v>
      </c>
      <c r="C3" s="52" t="s">
        <v>27</v>
      </c>
      <c r="D3" s="60" t="s">
        <v>28</v>
      </c>
      <c r="F3" s="19" t="s">
        <v>41</v>
      </c>
      <c r="G3" s="19" t="s">
        <v>42</v>
      </c>
    </row>
    <row r="4" spans="1:7" ht="15" x14ac:dyDescent="0.25">
      <c r="A4" s="55" t="s">
        <v>29</v>
      </c>
      <c r="B4" s="23">
        <f>נוכחות!H33</f>
        <v>31.1</v>
      </c>
      <c r="C4" s="48">
        <f>הגדרות!B10</f>
        <v>50</v>
      </c>
      <c r="D4" s="61">
        <f>B4*C4</f>
        <v>1555</v>
      </c>
      <c r="F4" s="41" t="s">
        <v>19</v>
      </c>
      <c r="G4" s="42">
        <f>B4</f>
        <v>31.1</v>
      </c>
    </row>
    <row r="5" spans="1:7" ht="15" x14ac:dyDescent="0.25">
      <c r="A5" s="56" t="s">
        <v>30</v>
      </c>
      <c r="B5" s="24">
        <f>נוכחות!I33</f>
        <v>3.75</v>
      </c>
      <c r="C5" s="49">
        <f>הגדרות!B10*1.25</f>
        <v>62.5</v>
      </c>
      <c r="D5" s="62">
        <f>B5*C5</f>
        <v>234.375</v>
      </c>
      <c r="F5" s="41" t="s">
        <v>20</v>
      </c>
      <c r="G5" s="42">
        <f>B5</f>
        <v>3.75</v>
      </c>
    </row>
    <row r="6" spans="1:7" ht="15" x14ac:dyDescent="0.25">
      <c r="A6" s="57" t="s">
        <v>31</v>
      </c>
      <c r="B6" s="25">
        <f>נוכחות!J33</f>
        <v>14.883333333333333</v>
      </c>
      <c r="C6" s="50">
        <f>הגדרות!B10*1.5</f>
        <v>75</v>
      </c>
      <c r="D6" s="63">
        <f>B6*C6</f>
        <v>1116.25</v>
      </c>
      <c r="F6" s="41" t="s">
        <v>21</v>
      </c>
      <c r="G6" s="42">
        <f>B6</f>
        <v>14.883333333333333</v>
      </c>
    </row>
    <row r="7" spans="1:7" x14ac:dyDescent="0.2">
      <c r="A7" s="58"/>
      <c r="B7" s="51"/>
      <c r="C7" s="51"/>
      <c r="D7" s="64"/>
    </row>
    <row r="8" spans="1:7" ht="18.75" thickBot="1" x14ac:dyDescent="0.3">
      <c r="A8" s="59" t="s">
        <v>32</v>
      </c>
      <c r="B8" s="182">
        <f>נוכחות!G33</f>
        <v>49.733333333333334</v>
      </c>
      <c r="C8" s="53"/>
      <c r="D8" s="65">
        <f>SUM(D4:D6)</f>
        <v>2905.625</v>
      </c>
    </row>
    <row r="9" spans="1:7" ht="15" thickBot="1" x14ac:dyDescent="0.25"/>
    <row r="10" spans="1:7" ht="16.5" x14ac:dyDescent="0.25">
      <c r="A10" s="66" t="s">
        <v>33</v>
      </c>
      <c r="B10" s="70"/>
      <c r="C10" s="12"/>
      <c r="D10" s="12"/>
    </row>
    <row r="11" spans="1:7" ht="15" x14ac:dyDescent="0.25">
      <c r="A11" s="67" t="s">
        <v>34</v>
      </c>
      <c r="B11" s="71">
        <f>COUNTIF(נוכחות!F2:F32,"&gt;0")</f>
        <v>5</v>
      </c>
    </row>
    <row r="12" spans="1:7" ht="15" x14ac:dyDescent="0.25">
      <c r="A12" s="68" t="s">
        <v>35</v>
      </c>
      <c r="B12" s="72">
        <f>IF(B11&gt;0, B8/B11, 0)</f>
        <v>9.9466666666666672</v>
      </c>
    </row>
    <row r="13" spans="1:7" ht="15" x14ac:dyDescent="0.25">
      <c r="A13" s="67" t="s">
        <v>36</v>
      </c>
      <c r="B13" s="183">
        <f>IF(COUNTIF(נוכחות!G2:G32,"&gt;0")&gt;0,MAX(נוכחות!G2:G32),0)</f>
        <v>15.233333333333333</v>
      </c>
    </row>
    <row r="14" spans="1:7" ht="15" x14ac:dyDescent="0.25">
      <c r="A14" s="68" t="s">
        <v>37</v>
      </c>
      <c r="B14" s="184">
        <f>IF(COUNTIF(נוכחות!G2:G32,"&gt;0")&gt;0,MIN(IF(נוכחות!G2:G32&gt;0,נוכחות!G2:G32)),0)</f>
        <v>7.25</v>
      </c>
    </row>
    <row r="15" spans="1:7" ht="15" x14ac:dyDescent="0.25">
      <c r="A15" s="67" t="s">
        <v>38</v>
      </c>
      <c r="B15" s="71">
        <f>COUNTIF(נוכחות!F2:F32,"&gt;"&amp;הגדרות!B11)</f>
        <v>4</v>
      </c>
    </row>
    <row r="16" spans="1:7" ht="15" x14ac:dyDescent="0.25">
      <c r="A16" s="69" t="s">
        <v>39</v>
      </c>
      <c r="B16" s="73">
        <f>COUNTIF(נוכחות!F2:F32,"&gt;12")</f>
        <v>1</v>
      </c>
    </row>
    <row r="17" spans="1:3" ht="15" x14ac:dyDescent="0.25">
      <c r="A17" s="152" t="s">
        <v>40</v>
      </c>
      <c r="B17" s="154">
        <f>IF(B8&gt;0, (B5+B6*1.5)/(B4+B5*1.25+B6*1.5)*100, 0)</f>
        <v>44.869864486986451</v>
      </c>
    </row>
    <row r="18" spans="1:3" ht="15.75" thickBot="1" x14ac:dyDescent="0.3">
      <c r="A18" s="153" t="s">
        <v>166</v>
      </c>
      <c r="B18" s="155">
        <f>COUNTIF(נוכחות!Q2:Q32,"לילה")</f>
        <v>1</v>
      </c>
    </row>
    <row r="20" spans="1:3" ht="15" outlineLevel="2" x14ac:dyDescent="0.25">
      <c r="A20" s="43" t="s">
        <v>15</v>
      </c>
      <c r="B20" s="43" t="s">
        <v>43</v>
      </c>
      <c r="C20" s="43" t="s">
        <v>44</v>
      </c>
    </row>
    <row r="21" spans="1:3" outlineLevel="2" x14ac:dyDescent="0.2">
      <c r="A21" s="44" t="str">
        <f>TEXT(נוכחות!A2,"dd/mm")</f>
        <v>01/01</v>
      </c>
      <c r="B21" s="45">
        <f>IF(נוכחות!F2="",0,נוכחות!F2)</f>
        <v>11</v>
      </c>
      <c r="C21" s="45">
        <f>IF(נוכחות!A2="","",נוכחות!R2)</f>
        <v>8.6</v>
      </c>
    </row>
    <row r="22" spans="1:3" outlineLevel="2" x14ac:dyDescent="0.2">
      <c r="A22" s="44" t="str">
        <f>TEXT(נוכחות!A3,"dd/mm")</f>
        <v>02/01</v>
      </c>
      <c r="B22" s="45">
        <f>IF(נוכחות!F3="",0,נוכחות!F3)</f>
        <v>8</v>
      </c>
      <c r="C22" s="45">
        <f>IF(נוכחות!A3="","",נוכחות!R3)</f>
        <v>8.6</v>
      </c>
    </row>
    <row r="23" spans="1:3" outlineLevel="2" x14ac:dyDescent="0.2">
      <c r="A23" s="44" t="str">
        <f>TEXT(נוכחות!A4,"dd/mm")</f>
        <v>03/01</v>
      </c>
      <c r="B23" s="45">
        <f>IF(נוכחות!F4="",0,נוכחות!F4)</f>
        <v>8.9999999999999982</v>
      </c>
      <c r="C23" s="45">
        <f>IF(נוכחות!A4="","",נוכחות!R4)</f>
        <v>8.6</v>
      </c>
    </row>
    <row r="24" spans="1:3" outlineLevel="2" x14ac:dyDescent="0.2">
      <c r="A24" s="44" t="str">
        <f>TEXT(נוכחות!A5,"dd/mm")</f>
        <v>04/01</v>
      </c>
      <c r="B24" s="45">
        <f>IF(נוכחות!F5="",0,נוכחות!F5)</f>
        <v>9.5</v>
      </c>
      <c r="C24" s="45">
        <f>IF(נוכחות!A5="","",נוכחות!R5)</f>
        <v>7</v>
      </c>
    </row>
    <row r="25" spans="1:3" outlineLevel="2" x14ac:dyDescent="0.2">
      <c r="A25" s="44" t="str">
        <f>TEXT(נוכחות!A6,"dd/mm")</f>
        <v>05/01</v>
      </c>
      <c r="B25" s="45">
        <f>IF(נוכחות!F6="",0,נוכחות!F6)</f>
        <v>15.983333333333333</v>
      </c>
      <c r="C25" s="45">
        <f>IF(נוכחות!A6="","",נוכחות!R6)</f>
        <v>8.6</v>
      </c>
    </row>
    <row r="26" spans="1:3" outlineLevel="2" x14ac:dyDescent="0.2">
      <c r="A26" s="44" t="str">
        <f>TEXT(נוכחות!A7,"dd/mm")</f>
        <v>06/01</v>
      </c>
      <c r="B26" s="45">
        <f>IF(נוכחות!F7="",0,נוכחות!F7)</f>
        <v>0</v>
      </c>
      <c r="C26" s="45">
        <f>IF(נוכחות!A7="","",נוכחות!R7)</f>
        <v>8.6</v>
      </c>
    </row>
    <row r="27" spans="1:3" outlineLevel="2" x14ac:dyDescent="0.2">
      <c r="A27" s="44" t="str">
        <f>TEXT(נוכחות!A8,"dd/mm")</f>
        <v>07/01</v>
      </c>
      <c r="B27" s="45">
        <f>IF(נוכחות!F8="",0,נוכחות!F8)</f>
        <v>0</v>
      </c>
      <c r="C27" s="45">
        <f>IF(נוכחות!A8="","",נוכחות!R8)</f>
        <v>8.6</v>
      </c>
    </row>
    <row r="28" spans="1:3" outlineLevel="2" x14ac:dyDescent="0.2">
      <c r="A28" s="44" t="str">
        <f>TEXT(נוכחות!A9,"dd/mm")</f>
        <v>08/01</v>
      </c>
      <c r="B28" s="45">
        <f>IF(נוכחות!F9="",0,נוכחות!F9)</f>
        <v>0</v>
      </c>
      <c r="C28" s="45">
        <f>IF(נוכחות!A9="","",נוכחות!R9)</f>
        <v>8.6</v>
      </c>
    </row>
    <row r="29" spans="1:3" outlineLevel="2" x14ac:dyDescent="0.2">
      <c r="A29" s="44" t="str">
        <f>TEXT(נוכחות!A10,"dd/mm")</f>
        <v>09/01</v>
      </c>
      <c r="B29" s="45">
        <f>IF(נוכחות!F10="",0,נוכחות!F10)</f>
        <v>0</v>
      </c>
      <c r="C29" s="45">
        <f>IF(נוכחות!A10="","",נוכחות!R10)</f>
        <v>8.6</v>
      </c>
    </row>
    <row r="30" spans="1:3" outlineLevel="2" x14ac:dyDescent="0.2">
      <c r="A30" s="44" t="str">
        <f>TEXT(נוכחות!A11,"dd/mm")</f>
        <v>10/01</v>
      </c>
      <c r="B30" s="45">
        <f>IF(נוכחות!F11="",0,נוכחות!F11)</f>
        <v>0</v>
      </c>
      <c r="C30" s="45">
        <f>IF(נוכחות!A11="","",נוכחות!R11)</f>
        <v>8.6</v>
      </c>
    </row>
    <row r="31" spans="1:3" outlineLevel="2" x14ac:dyDescent="0.2">
      <c r="A31" s="44" t="str">
        <f>TEXT(נוכחות!A12,"dd/mm")</f>
        <v>11/01</v>
      </c>
      <c r="B31" s="45">
        <f>IF(נוכחות!F12="",0,נוכחות!F12)</f>
        <v>0</v>
      </c>
      <c r="C31" s="45">
        <f>IF(נוכחות!A12="","",נוכחות!R12)</f>
        <v>8.6</v>
      </c>
    </row>
    <row r="32" spans="1:3" outlineLevel="2" x14ac:dyDescent="0.2">
      <c r="A32" s="44" t="str">
        <f>TEXT(נוכחות!A13,"dd/mm")</f>
        <v>12/01</v>
      </c>
      <c r="B32" s="45">
        <f>IF(נוכחות!F13="",0,נוכחות!F13)</f>
        <v>0</v>
      </c>
      <c r="C32" s="45">
        <f>IF(נוכחות!A13="","",נוכחות!R13)</f>
        <v>8.6</v>
      </c>
    </row>
    <row r="33" spans="1:3" outlineLevel="2" x14ac:dyDescent="0.2">
      <c r="A33" s="44" t="str">
        <f>TEXT(נוכחות!A14,"dd/mm")</f>
        <v>13/01</v>
      </c>
      <c r="B33" s="45">
        <f>IF(נוכחות!F14="",0,נוכחות!F14)</f>
        <v>0</v>
      </c>
      <c r="C33" s="45">
        <f>IF(נוכחות!A14="","",נוכחות!R14)</f>
        <v>8.6</v>
      </c>
    </row>
    <row r="34" spans="1:3" outlineLevel="2" x14ac:dyDescent="0.2">
      <c r="A34" s="44" t="str">
        <f>TEXT(נוכחות!A15,"dd/mm")</f>
        <v>14/01</v>
      </c>
      <c r="B34" s="45">
        <f>IF(נוכחות!F15="",0,נוכחות!F15)</f>
        <v>0</v>
      </c>
      <c r="C34" s="45">
        <f>IF(נוכחות!A15="","",נוכחות!R15)</f>
        <v>8.6</v>
      </c>
    </row>
    <row r="35" spans="1:3" outlineLevel="2" x14ac:dyDescent="0.2">
      <c r="A35" s="44" t="str">
        <f>TEXT(נוכחות!A16,"dd/mm")</f>
        <v>15/01</v>
      </c>
      <c r="B35" s="45">
        <f>IF(נוכחות!F16="",0,נוכחות!F16)</f>
        <v>0</v>
      </c>
      <c r="C35" s="45">
        <f>IF(נוכחות!A16="","",נוכחות!R16)</f>
        <v>8.6</v>
      </c>
    </row>
    <row r="36" spans="1:3" outlineLevel="2" x14ac:dyDescent="0.2">
      <c r="A36" s="44" t="str">
        <f>TEXT(נוכחות!A17,"dd/mm")</f>
        <v>16/01</v>
      </c>
      <c r="B36" s="45">
        <f>IF(נוכחות!F17="",0,נוכחות!F17)</f>
        <v>0</v>
      </c>
      <c r="C36" s="45">
        <f>IF(נוכחות!A17="","",נוכחות!R17)</f>
        <v>8.6</v>
      </c>
    </row>
    <row r="37" spans="1:3" outlineLevel="2" x14ac:dyDescent="0.2">
      <c r="A37" s="44" t="str">
        <f>TEXT(נוכחות!A18,"dd/mm")</f>
        <v>17/01</v>
      </c>
      <c r="B37" s="45">
        <f>IF(נוכחות!F18="",0,נוכחות!F18)</f>
        <v>0</v>
      </c>
      <c r="C37" s="45">
        <f>IF(נוכחות!A18="","",נוכחות!R18)</f>
        <v>8.6</v>
      </c>
    </row>
    <row r="38" spans="1:3" outlineLevel="2" x14ac:dyDescent="0.2">
      <c r="A38" s="44" t="str">
        <f>TEXT(נוכחות!A19,"dd/mm")</f>
        <v>18/01</v>
      </c>
      <c r="B38" s="45">
        <f>IF(נוכחות!F19="",0,נוכחות!F19)</f>
        <v>0</v>
      </c>
      <c r="C38" s="45">
        <f>IF(נוכחות!A19="","",נוכחות!R19)</f>
        <v>8.6</v>
      </c>
    </row>
    <row r="39" spans="1:3" outlineLevel="2" x14ac:dyDescent="0.2">
      <c r="A39" s="44" t="str">
        <f>TEXT(נוכחות!A20,"dd/mm")</f>
        <v>19/01</v>
      </c>
      <c r="B39" s="45">
        <f>IF(נוכחות!F20="",0,נוכחות!F20)</f>
        <v>0</v>
      </c>
      <c r="C39" s="45">
        <f>IF(נוכחות!A20="","",נוכחות!R20)</f>
        <v>8.6</v>
      </c>
    </row>
    <row r="40" spans="1:3" outlineLevel="2" x14ac:dyDescent="0.2">
      <c r="A40" s="44" t="str">
        <f>TEXT(נוכחות!A21,"dd/mm")</f>
        <v>20/01</v>
      </c>
      <c r="B40" s="45">
        <f>IF(נוכחות!F21="",0,נוכחות!F21)</f>
        <v>0</v>
      </c>
      <c r="C40" s="45">
        <f>IF(נוכחות!A21="","",נוכחות!R21)</f>
        <v>8.6</v>
      </c>
    </row>
    <row r="41" spans="1:3" outlineLevel="2" x14ac:dyDescent="0.2">
      <c r="A41" s="44" t="str">
        <f>TEXT(נוכחות!A22,"dd/mm")</f>
        <v>21/01</v>
      </c>
      <c r="B41" s="45">
        <f>IF(נוכחות!F22="",0,נוכחות!F22)</f>
        <v>0</v>
      </c>
      <c r="C41" s="45">
        <f>IF(נוכחות!A22="","",נוכחות!R22)</f>
        <v>8.6</v>
      </c>
    </row>
    <row r="42" spans="1:3" outlineLevel="2" x14ac:dyDescent="0.2">
      <c r="A42" s="44" t="str">
        <f>TEXT(נוכחות!A23,"dd/mm")</f>
        <v>22/01</v>
      </c>
      <c r="B42" s="45">
        <f>IF(נוכחות!F23="",0,נוכחות!F23)</f>
        <v>0</v>
      </c>
      <c r="C42" s="45">
        <f>IF(נוכחות!A23="","",נוכחות!R23)</f>
        <v>8.6</v>
      </c>
    </row>
    <row r="43" spans="1:3" outlineLevel="2" x14ac:dyDescent="0.2">
      <c r="A43" s="44" t="str">
        <f>TEXT(נוכחות!A24,"dd/mm")</f>
        <v>23/01</v>
      </c>
      <c r="B43" s="45">
        <f>IF(נוכחות!F24="",0,נוכחות!F24)</f>
        <v>0</v>
      </c>
      <c r="C43" s="45">
        <f>IF(נוכחות!A24="","",נוכחות!R24)</f>
        <v>8.6</v>
      </c>
    </row>
    <row r="44" spans="1:3" outlineLevel="2" x14ac:dyDescent="0.2">
      <c r="A44" s="44" t="str">
        <f>TEXT(נוכחות!A25,"dd/mm")</f>
        <v>24/01</v>
      </c>
      <c r="B44" s="45">
        <f>IF(נוכחות!F25="",0,נוכחות!F25)</f>
        <v>0</v>
      </c>
      <c r="C44" s="45">
        <f>IF(נוכחות!A25="","",נוכחות!R25)</f>
        <v>8.6</v>
      </c>
    </row>
    <row r="45" spans="1:3" outlineLevel="2" x14ac:dyDescent="0.2">
      <c r="A45" s="44" t="str">
        <f>TEXT(נוכחות!A26,"dd/mm")</f>
        <v>25/01</v>
      </c>
      <c r="B45" s="45">
        <f>IF(נוכחות!F26="",0,נוכחות!F26)</f>
        <v>0</v>
      </c>
      <c r="C45" s="45">
        <f>IF(נוכחות!A26="","",נוכחות!R26)</f>
        <v>8.6</v>
      </c>
    </row>
    <row r="46" spans="1:3" outlineLevel="2" x14ac:dyDescent="0.2">
      <c r="A46" s="44" t="str">
        <f>TEXT(נוכחות!A27,"dd/mm")</f>
        <v>26/01</v>
      </c>
      <c r="B46" s="45">
        <f>IF(נוכחות!F27="",0,נוכחות!F27)</f>
        <v>0</v>
      </c>
      <c r="C46" s="45">
        <f>IF(נוכחות!A27="","",נוכחות!R27)</f>
        <v>8.6</v>
      </c>
    </row>
    <row r="47" spans="1:3" outlineLevel="2" x14ac:dyDescent="0.2">
      <c r="A47" s="44" t="str">
        <f>TEXT(נוכחות!A28,"dd/mm")</f>
        <v>27/01</v>
      </c>
      <c r="B47" s="45">
        <f>IF(נוכחות!F28="",0,נוכחות!F28)</f>
        <v>0</v>
      </c>
      <c r="C47" s="45">
        <f>IF(נוכחות!A28="","",נוכחות!R28)</f>
        <v>8.6</v>
      </c>
    </row>
    <row r="48" spans="1:3" outlineLevel="2" x14ac:dyDescent="0.2">
      <c r="A48" s="44" t="str">
        <f>TEXT(נוכחות!A29,"dd/mm")</f>
        <v>28/01</v>
      </c>
      <c r="B48" s="45">
        <f>IF(נוכחות!F29="",0,נוכחות!F29)</f>
        <v>0</v>
      </c>
      <c r="C48" s="45">
        <f>IF(נוכחות!A29="","",נוכחות!R29)</f>
        <v>8.6</v>
      </c>
    </row>
    <row r="49" spans="1:3" outlineLevel="2" x14ac:dyDescent="0.2">
      <c r="A49" s="44" t="str">
        <f>TEXT(נוכחות!A30,"dd/mm")</f>
        <v>29/01</v>
      </c>
      <c r="B49" s="45">
        <f>IF(נוכחות!F30="",0,נוכחות!F30)</f>
        <v>0</v>
      </c>
      <c r="C49" s="45">
        <f>IF(נוכחות!A30="","",נוכחות!R30)</f>
        <v>8.6</v>
      </c>
    </row>
    <row r="50" spans="1:3" outlineLevel="2" x14ac:dyDescent="0.2">
      <c r="A50" s="44" t="str">
        <f>TEXT(נוכחות!A31,"dd/mm")</f>
        <v>30/01</v>
      </c>
      <c r="B50" s="45">
        <f>IF(נוכחות!F31="",0,נוכחות!F31)</f>
        <v>0</v>
      </c>
      <c r="C50" s="45">
        <f>IF(נוכחות!A31="","",נוכחות!R31)</f>
        <v>8.6</v>
      </c>
    </row>
    <row r="51" spans="1:3" outlineLevel="2" x14ac:dyDescent="0.2">
      <c r="A51" s="44" t="str">
        <f>TEXT(נוכחות!A32,"dd/mm")</f>
        <v>31/01</v>
      </c>
      <c r="B51" s="45">
        <f>IF(נוכחות!F32="",0,נוכחות!F32)</f>
        <v>0</v>
      </c>
      <c r="C51" s="45">
        <f>IF(נוכחות!A32="","",נוכחות!R32)</f>
        <v>8.6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ברוכים הבאים</vt:lpstr>
      <vt:lpstr>הגדרות</vt:lpstr>
      <vt:lpstr>נוכחות</vt:lpstr>
      <vt:lpstr>לוח בקרה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2026-03-09T18:16:06Z</dcterms:created>
  <dcterms:modified xsi:type="dcterms:W3CDTF">2026-06-01T18:00:09Z</dcterms:modified>
</cp:coreProperties>
</file>