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C78539D-E6CA-42B5-8965-3A72E57F6C5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ברוכים הבאים" sheetId="7" r:id="rId1"/>
    <sheet name="📖 Instructions" sheetId="1" r:id="rId2"/>
    <sheet name="Settings" sheetId="2" r:id="rId3"/>
    <sheet name="Deals" sheetId="3" r:id="rId4"/>
    <sheet name="Commissions" sheetId="4" r:id="rId5"/>
    <sheet name="Charts" sheetId="5" r:id="rId6"/>
    <sheet name="Dashboard" sheetId="6" r:id="rId7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5" i="6" l="1"/>
  <c r="C5" i="6" s="1"/>
  <c r="F6" i="5" s="1"/>
  <c r="B4" i="6"/>
  <c r="B6" i="6" s="1"/>
  <c r="J31" i="5"/>
  <c r="J30" i="5"/>
  <c r="J29" i="5"/>
  <c r="A6" i="5"/>
  <c r="A5" i="5"/>
  <c r="D7" i="4"/>
  <c r="C7" i="4"/>
  <c r="E7" i="4" s="1"/>
  <c r="B7" i="4"/>
  <c r="F7" i="4" s="1"/>
  <c r="G7" i="4" s="1"/>
  <c r="H7" i="4" s="1"/>
  <c r="A7" i="4"/>
  <c r="F6" i="4"/>
  <c r="G6" i="4" s="1"/>
  <c r="D6" i="4"/>
  <c r="C6" i="4"/>
  <c r="E6" i="4" s="1"/>
  <c r="B6" i="4"/>
  <c r="A6" i="4"/>
  <c r="F5" i="4"/>
  <c r="G5" i="4" s="1"/>
  <c r="H5" i="4" s="1"/>
  <c r="I5" i="4" s="1"/>
  <c r="E5" i="4"/>
  <c r="D5" i="4"/>
  <c r="C5" i="4"/>
  <c r="B5" i="4"/>
  <c r="A5" i="4"/>
  <c r="D4" i="4"/>
  <c r="C4" i="4"/>
  <c r="H4" i="4" s="1"/>
  <c r="B4" i="4"/>
  <c r="F4" i="4" s="1"/>
  <c r="G4" i="4" s="1"/>
  <c r="A4" i="4"/>
  <c r="F3" i="4"/>
  <c r="G3" i="4" s="1"/>
  <c r="E3" i="4"/>
  <c r="D3" i="4"/>
  <c r="I3" i="4" s="1"/>
  <c r="C3" i="4"/>
  <c r="H3" i="4" s="1"/>
  <c r="B3" i="4"/>
  <c r="A3" i="4"/>
  <c r="D2" i="4"/>
  <c r="C2" i="4"/>
  <c r="E2" i="4" s="1"/>
  <c r="B2" i="4"/>
  <c r="A2" i="4"/>
  <c r="J7" i="3"/>
  <c r="J7" i="4" s="1"/>
  <c r="G7" i="3"/>
  <c r="J6" i="3"/>
  <c r="J6" i="4" s="1"/>
  <c r="G6" i="3"/>
  <c r="J5" i="3"/>
  <c r="G5" i="3"/>
  <c r="J4" i="3"/>
  <c r="J4" i="4" s="1"/>
  <c r="G4" i="3"/>
  <c r="J3" i="3"/>
  <c r="J3" i="4" s="1"/>
  <c r="G3" i="3"/>
  <c r="J2" i="3"/>
  <c r="J2" i="4" s="1"/>
  <c r="G2" i="3"/>
  <c r="K3" i="4" l="1"/>
  <c r="J5" i="4"/>
  <c r="K5" i="4" s="1"/>
  <c r="I7" i="4"/>
  <c r="K7" i="4" s="1"/>
  <c r="E5" i="6"/>
  <c r="D6" i="5" s="1"/>
  <c r="E4" i="4"/>
  <c r="I4" i="4" s="1"/>
  <c r="K4" i="4" s="1"/>
  <c r="C4" i="6"/>
  <c r="B6" i="5"/>
  <c r="H6" i="4"/>
  <c r="I6" i="4" s="1"/>
  <c r="B5" i="5"/>
  <c r="E4" i="6"/>
  <c r="F2" i="4"/>
  <c r="G2" i="4" s="1"/>
  <c r="H2" i="4" s="1"/>
  <c r="I2" i="4" s="1"/>
  <c r="K6" i="4" l="1"/>
  <c r="D5" i="6"/>
  <c r="C6" i="5" s="1"/>
  <c r="K2" i="4"/>
  <c r="F4" i="6" s="1"/>
  <c r="D4" i="6"/>
  <c r="F5" i="6"/>
  <c r="E6" i="5" s="1"/>
  <c r="E6" i="6"/>
  <c r="D5" i="5"/>
  <c r="F5" i="5"/>
  <c r="C6" i="6"/>
  <c r="D6" i="6" l="1"/>
  <c r="C5" i="5"/>
  <c r="F6" i="6"/>
  <c r="E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B3" authorId="0" shapeId="0" xr:uid="{00000000-0006-0000-0100-000001000000}">
      <text>
        <r>
          <rPr>
            <sz val="10"/>
            <rFont val="Arial"/>
            <family val="2"/>
          </rPr>
          <t>Annual Recurring Revenue quota per rep.
Example: $120,000 = $10,000 MRR target.</t>
        </r>
      </text>
    </comment>
    <comment ref="B4" authorId="0" shapeId="0" xr:uid="{00000000-0006-0000-0100-000002000000}">
      <text>
        <r>
          <rPr>
            <sz val="10"/>
            <rFont val="Arial"/>
            <family val="2"/>
          </rPr>
          <t>Commission % on NEW logo ARR.
10% is standard SaaS industry benchmark.</t>
        </r>
      </text>
    </comment>
    <comment ref="B5" authorId="0" shapeId="0" xr:uid="{00000000-0006-0000-0100-000003000000}">
      <text>
        <r>
          <rPr>
            <sz val="10"/>
            <rFont val="Arial"/>
            <family val="2"/>
          </rPr>
          <t>Commission % on RENEWAL ARR.
Typically 2–5%; lower since no acquisition cost.</t>
        </r>
      </text>
    </comment>
    <comment ref="B6" authorId="0" shapeId="0" xr:uid="{00000000-0006-0000-0100-000004000000}">
      <text>
        <r>
          <rPr>
            <sz val="10"/>
            <rFont val="Arial"/>
            <family val="2"/>
          </rPr>
          <t>Commission % on EXPANSION (upsell/cross-sell).
Usually between new &amp; renewal rates.</t>
        </r>
      </text>
    </comment>
    <comment ref="B7" authorId="0" shapeId="0" xr:uid="{00000000-0006-0000-0100-000005000000}">
      <text>
        <r>
          <rPr>
            <sz val="10"/>
            <rFont val="Arial"/>
            <family val="2"/>
          </rPr>
          <t>Accelerator multiplier when rep hits 100–150% of quota.
1.5x = 50% bonus on commissions in that band.</t>
        </r>
      </text>
    </comment>
    <comment ref="B8" authorId="0" shapeId="0" xr:uid="{00000000-0006-0000-0100-000006000000}">
      <text>
        <r>
          <rPr>
            <sz val="10"/>
            <rFont val="Arial"/>
            <family val="2"/>
          </rPr>
          <t>Accelerator multiplier when rep exceeds 150% of quota.
2x = double commission rate for deals above 150%.</t>
        </r>
      </text>
    </comment>
    <comment ref="B9" authorId="0" shapeId="0" xr:uid="{00000000-0006-0000-0100-000007000000}">
      <text>
        <r>
          <rPr>
            <sz val="10"/>
            <rFont val="Arial"/>
            <family val="2"/>
          </rPr>
          <t>If a deal churns within this many months of close,
a clawback is triggered. Typical: 3–12 months.</t>
        </r>
      </text>
    </comment>
    <comment ref="B10" authorId="0" shapeId="0" xr:uid="{00000000-0006-0000-0100-000008000000}">
      <text>
        <r>
          <rPr>
            <sz val="10"/>
            <rFont val="Arial"/>
            <family val="2"/>
          </rPr>
          <t>Percentage of commission clawed back on a churned deal.
100% = full clawback of the original commission.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F1" authorId="0" shapeId="0" xr:uid="{00000000-0006-0000-0200-000001000000}">
      <text>
        <r>
          <rPr>
            <sz val="10"/>
            <rFont val="Arial"/>
            <family val="2"/>
          </rPr>
          <t>Annual Recurring Revenue of this deal.
Enter the full annual contract value in USD.</t>
        </r>
      </text>
    </comment>
    <comment ref="G1" authorId="0" shapeId="0" xr:uid="{00000000-0006-0000-0200-000002000000}">
      <text>
        <r>
          <rPr>
            <sz val="10"/>
            <rFont val="Arial"/>
            <family val="2"/>
          </rPr>
          <t>Monthly Recurring Revenue = ARR ÷ 12.
Auto-calculated — do not edit.</t>
        </r>
      </text>
    </comment>
    <comment ref="H1" authorId="0" shapeId="0" xr:uid="{00000000-0006-0000-0200-000003000000}">
      <text>
        <r>
          <rPr>
            <sz val="10"/>
            <rFont val="Arial"/>
            <family val="2"/>
          </rPr>
          <t>Active = deal is live.
Churned = customer cancelled.</t>
        </r>
      </text>
    </comment>
    <comment ref="I1" authorId="0" shapeId="0" xr:uid="{00000000-0006-0000-0200-000004000000}">
      <text>
        <r>
          <rPr>
            <sz val="10"/>
            <rFont val="Arial"/>
            <family val="2"/>
          </rPr>
          <t>Only required if Status = Churned.
Date the customer cancelled their subscription.</t>
        </r>
      </text>
    </comment>
    <comment ref="J1" authorId="0" shapeId="0" xr:uid="{00000000-0006-0000-0200-000005000000}">
      <text>
        <r>
          <rPr>
            <sz val="10"/>
            <rFont val="Arial"/>
            <family val="2"/>
          </rPr>
          <t>Auto-calculated: months from Close Date to today (or Cancel Date if churned).
Used to determine clawback eligibility.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E1" authorId="0" shapeId="0" xr:uid="{00000000-0006-0000-0300-000001000000}">
      <text>
        <r>
          <rPr>
            <sz val="10"/>
            <rFont val="Arial"/>
            <family val="2"/>
          </rPr>
          <t>Commission rate based on deal type:
• New = 10%
• Renewal = 4%
• Expansion = 7%
(Pulled from Settings sheet)</t>
        </r>
      </text>
    </comment>
    <comment ref="F1" authorId="0" shapeId="0" xr:uid="{00000000-0006-0000-0300-000002000000}">
      <text>
        <r>
          <rPr>
            <sz val="10"/>
            <rFont val="Arial"/>
            <family val="2"/>
          </rPr>
          <t>Running total of NEW ARR closed by this rep,
up to and including this deal row.
Used to determine which accelerator tier applies.</t>
        </r>
      </text>
    </comment>
    <comment ref="G1" authorId="0" shapeId="0" xr:uid="{00000000-0006-0000-0300-000003000000}">
      <text>
        <r>
          <rPr>
            <sz val="10"/>
            <rFont val="Arial"/>
            <family val="2"/>
          </rPr>
          <t>Cumulative New ARR ÷ Annual Quota.
100% = rep has hit full quota.
Drives the accelerator multiplier.</t>
        </r>
      </text>
    </comment>
    <comment ref="H1" authorId="0" shapeId="0" xr:uid="{00000000-0006-0000-0300-000004000000}">
      <text>
        <r>
          <rPr>
            <sz val="10"/>
            <rFont val="Arial"/>
            <family val="2"/>
          </rPr>
          <t>Multiplier applied to base commission:
• &lt; 100% quota → 1.0x (no accelerator)
• 100–150% quota → 1.5x
• &gt; 150% quota → 2.0x
Only applies to NEW deals.</t>
        </r>
      </text>
    </comment>
    <comment ref="I1" authorId="0" shapeId="0" xr:uid="{00000000-0006-0000-0300-000005000000}">
      <text>
        <r>
          <rPr>
            <sz val="10"/>
            <rFont val="Arial"/>
            <family val="2"/>
          </rPr>
          <t>Base Commission = ARR × Base Rate × Accelerator.
This is the gross commission before any clawback.</t>
        </r>
      </text>
    </comment>
    <comment ref="J1" authorId="0" shapeId="0" xr:uid="{00000000-0006-0000-0300-000006000000}">
      <text>
        <r>
          <rPr>
            <sz val="10"/>
            <rFont val="Arial"/>
            <family val="2"/>
          </rPr>
          <t>Clawback triggered when:
• Deal status = Churned AND
• Months Active &lt; Clawback Period (Settings)
Amount = Base Comm × Clawback % (Settings).</t>
        </r>
      </text>
    </comment>
    <comment ref="K1" authorId="0" shapeId="0" xr:uid="{00000000-0006-0000-0300-000007000000}">
      <text>
        <r>
          <rPr>
            <sz val="10"/>
            <rFont val="Arial"/>
            <family val="2"/>
          </rPr>
          <t>Net Commission = Base Comm − Clawback.
This is the final payout to the rep.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B3" authorId="0" shapeId="0" xr:uid="{00000000-0006-0000-0500-000001000000}">
      <text>
        <r>
          <rPr>
            <sz val="10"/>
            <rFont val="Arial"/>
            <family val="2"/>
          </rPr>
          <t>Total NEW logo ARR closed by this rep.
Excludes Renewals and Expansions.</t>
        </r>
      </text>
    </comment>
    <comment ref="C3" authorId="0" shapeId="0" xr:uid="{00000000-0006-0000-0500-000002000000}">
      <text>
        <r>
          <rPr>
            <sz val="10"/>
            <rFont val="Arial"/>
            <family val="2"/>
          </rPr>
          <t>Rep's New ARR vs. Annual Quota ($120K).
Highlights who is on track vs. behind.</t>
        </r>
      </text>
    </comment>
    <comment ref="D3" authorId="0" shapeId="0" xr:uid="{00000000-0006-0000-0500-000003000000}">
      <text>
        <r>
          <rPr>
            <sz val="10"/>
            <rFont val="Arial"/>
            <family val="2"/>
          </rPr>
          <t>Gross commissions before clawback deductions.</t>
        </r>
      </text>
    </comment>
    <comment ref="E3" authorId="0" shapeId="0" xr:uid="{00000000-0006-0000-0500-000004000000}">
      <text>
        <r>
          <rPr>
            <sz val="10"/>
            <rFont val="Arial"/>
            <family val="2"/>
          </rPr>
          <t>Total clawback deductions due to churned deals within clawback period.</t>
        </r>
      </text>
    </comment>
    <comment ref="F3" authorId="0" shapeId="0" xr:uid="{00000000-0006-0000-0500-000005000000}">
      <text>
        <r>
          <rPr>
            <sz val="10"/>
            <rFont val="Arial"/>
            <family val="2"/>
          </rPr>
          <t>Final take-home payout = Total Comm − Clawback.</t>
        </r>
      </text>
    </comment>
  </commentList>
</comments>
</file>

<file path=xl/sharedStrings.xml><?xml version="1.0" encoding="utf-8"?>
<sst xmlns="http://schemas.openxmlformats.org/spreadsheetml/2006/main" count="144" uniqueCount="113">
  <si>
    <t>SaaS Commission Calculator – מדריך שימוש</t>
  </si>
  <si>
    <t>SaaS Commission Calculator — User Guide</t>
  </si>
  <si>
    <t>📋  Overview – מה הכלי הזה עושה</t>
  </si>
  <si>
    <t>This workbook automatically calculates SaaS sales commissions based on deal type, accelerator tiers, and clawback rules. It is built for small SaaS teams managing a few reps. All you need to do is maintain the Deals sheet — everything else recalculates automatically.</t>
  </si>
  <si>
    <t>📂  Sheet Structure – מבנה הגיליונות</t>
  </si>
  <si>
    <t>⚙️  Settings</t>
  </si>
  <si>
    <t>Define commission rates, quota, accelerators, and clawback rules. Change values here only.</t>
  </si>
  <si>
    <t>📄  Deals</t>
  </si>
  <si>
    <t>Enter every deal: customer, rep, close date, type (New/Renewal/Expansion), ARR, and status.</t>
  </si>
  <si>
    <t>💰  Commissions</t>
  </si>
  <si>
    <t>Auto-calculated. Shows base rate, accelerator, gross commission, clawback, and net payout per deal.</t>
  </si>
  <si>
    <t>📊  Dashboard</t>
  </si>
  <si>
    <t>Summary by rep: New ARR, % of quota, total commission, clawbacks, and net payout.</t>
  </si>
  <si>
    <t>📈  Charts</t>
  </si>
  <si>
    <t>Visual analytics: ARR vs commission, clawback impact, quota attainment, and ARR mix.</t>
  </si>
  <si>
    <t>🚀  Step-by-Step Usage – איך משתמשים</t>
  </si>
  <si>
    <t>Step 1 – Settings</t>
  </si>
  <si>
    <t>Open the ⚙️ Settings sheet. Review and update: Annual Quota, commission rates (New/Renewal/Expansion), accelerator multipliers, and clawback period/percentage. Yellow cells = inputs.</t>
  </si>
  <si>
    <t>Step 2 – Add Deals</t>
  </si>
  <si>
    <t>Open the 📄 Deals sheet. Add each deal on a new row: fill in Deal ID, Customer, Rep name, Close Date, Type, ARR, and Status. Leave MRR and Months Active — they are auto-calculated.</t>
  </si>
  <si>
    <t>Step 3 – Review</t>
  </si>
  <si>
    <t>Open 💰 Commissions to review per-deal commission breakdowns. Green text = values pulled from other sheets. Black text = calculated formulas. Do not manually edit these cells.</t>
  </si>
  <si>
    <t>Step 4 – Dashboard</t>
  </si>
  <si>
    <t>Open 📊 Dashboard for a per-rep summary. This is the primary view for managers. Totals row shows company-wide figures.</t>
  </si>
  <si>
    <t>Step 5 – Charts</t>
  </si>
  <si>
    <t>Open 📈 Charts for visual analytics. Charts update automatically as deals are added.</t>
  </si>
  <si>
    <t>Churn / Clawback</t>
  </si>
  <si>
    <t>When a deal churns: in the Deals sheet, set Status = 'Churned' and enter the Cancel Date. The clawback is automatically triggered if Months Active &lt; Clawback Period (Settings).</t>
  </si>
  <si>
    <t>🎨  Color Coding Legend – מקרא צבעים</t>
  </si>
  <si>
    <t>Blue text</t>
  </si>
  <si>
    <t>User input cells — change these freely</t>
  </si>
  <si>
    <t>Black text</t>
  </si>
  <si>
    <t>Calculated formulas — do not edit</t>
  </si>
  <si>
    <t>Green text</t>
  </si>
  <si>
    <t>Values linked from another sheet</t>
  </si>
  <si>
    <t>Red highlight</t>
  </si>
  <si>
    <t>Clawback triggered — deal churned within clawback period</t>
  </si>
  <si>
    <t>Yellow background</t>
  </si>
  <si>
    <t>Key assumption cells requiring attention</t>
  </si>
  <si>
    <t>🧮  Commission Logic – לוגיקת החישוב</t>
  </si>
  <si>
    <t>Base Commission</t>
  </si>
  <si>
    <t>ARR x Base Rate x Accelerator Multiplier</t>
  </si>
  <si>
    <t>Net Commission</t>
  </si>
  <si>
    <t>Base Commission minus Clawback Amount</t>
  </si>
  <si>
    <t>Accelerator</t>
  </si>
  <si>
    <t>1.0× below quota | 1.5× at 100–150% | 2.0× above 150%</t>
  </si>
  <si>
    <t>Cumulative ARR</t>
  </si>
  <si>
    <t>Running total of NEW deals per rep (determines accelerator tier)</t>
  </si>
  <si>
    <t>Clawback trigger</t>
  </si>
  <si>
    <t>Deal status = Churned AND Months Active &lt; Clawback Period</t>
  </si>
  <si>
    <t>Clawback amount</t>
  </si>
  <si>
    <t>Base Commission x Clawback Percent (typically 100%)</t>
  </si>
  <si>
    <t>SaaS Commission Calculator - Settings</t>
  </si>
  <si>
    <t>Parameter</t>
  </si>
  <si>
    <t>Value</t>
  </si>
  <si>
    <t>Annual Quota (ARR $)</t>
  </si>
  <si>
    <t>New Business Rate</t>
  </si>
  <si>
    <t>Renewal Rate</t>
  </si>
  <si>
    <t>Expansion Rate</t>
  </si>
  <si>
    <t>Accelerator Tier1 (100-150% quota)</t>
  </si>
  <si>
    <t>Accelerator Tier2 (&gt;150% quota)</t>
  </si>
  <si>
    <t>Clawback Period (months)</t>
  </si>
  <si>
    <t>Clawback %</t>
  </si>
  <si>
    <t>Deal ID</t>
  </si>
  <si>
    <t>Customer</t>
  </si>
  <si>
    <t>Rep</t>
  </si>
  <si>
    <t>Close Date</t>
  </si>
  <si>
    <t>Type</t>
  </si>
  <si>
    <t>ARR ($)</t>
  </si>
  <si>
    <t>MRR ($)</t>
  </si>
  <si>
    <t>Status</t>
  </si>
  <si>
    <t>Cancel Date</t>
  </si>
  <si>
    <t>Months Active</t>
  </si>
  <si>
    <t>D001</t>
  </si>
  <si>
    <t>Acme Corp</t>
  </si>
  <si>
    <t>Alice</t>
  </si>
  <si>
    <t>2026-01-15</t>
  </si>
  <si>
    <t>New</t>
  </si>
  <si>
    <t>Active</t>
  </si>
  <si>
    <t>D002</t>
  </si>
  <si>
    <t>BetaCo</t>
  </si>
  <si>
    <t>2026-02-10</t>
  </si>
  <si>
    <t>D003</t>
  </si>
  <si>
    <t>Gamma Ltd</t>
  </si>
  <si>
    <t>2026-02-20</t>
  </si>
  <si>
    <t>Expansion</t>
  </si>
  <si>
    <t>D004</t>
  </si>
  <si>
    <t>Delta Inc</t>
  </si>
  <si>
    <t>Bob</t>
  </si>
  <si>
    <t>2026-01-05</t>
  </si>
  <si>
    <t>Churned</t>
  </si>
  <si>
    <t>2026-04-01</t>
  </si>
  <si>
    <t>D005</t>
  </si>
  <si>
    <t>Epsilon</t>
  </si>
  <si>
    <t>2026-03-01</t>
  </si>
  <si>
    <t>Renewal</t>
  </si>
  <si>
    <t>D006</t>
  </si>
  <si>
    <t>Zeta</t>
  </si>
  <si>
    <t>2026-03-15</t>
  </si>
  <si>
    <t>ARR</t>
  </si>
  <si>
    <t>Base Rate</t>
  </si>
  <si>
    <t>% of Quota</t>
  </si>
  <si>
    <t>Base Comm</t>
  </si>
  <si>
    <t>Clawback</t>
  </si>
  <si>
    <t>Net Comm</t>
  </si>
  <si>
    <t>📊 Commission Analytics</t>
  </si>
  <si>
    <t>All charts update automatically when you add or modify deals.</t>
  </si>
  <si>
    <t>New ARR</t>
  </si>
  <si>
    <t>Total Comm</t>
  </si>
  <si>
    <t>Net Payout</t>
  </si>
  <si>
    <t>Deal Type</t>
  </si>
  <si>
    <t>Rep Performance Dashboard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</si>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</sst>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#,##0"/>
    <numFmt numFmtId="165" formatCode="0.0%"/>
    <numFmt numFmtId="166" formatCode="0.0\x"/>
  </numFmts>
  <fonts count="22" x14ac:knownFonts="1">
    <font>
      <sz val="11"/>
      <color theme="1"/>
      <name val="Calibri"/>
      <family val="2"/>
      <charset val="1"/>
    </font>
    <font>
      <b/>
      <sz val="16"/>
      <color rgb="FFFFFFFF"/>
      <name val="Arial"/>
      <charset val="1"/>
    </font>
    <font>
      <i/>
      <sz val="11"/>
      <color rgb="FF595959"/>
      <name val="Arial"/>
      <charset val="1"/>
    </font>
    <font>
      <b/>
      <sz val="12"/>
      <color rgb="FFFFFFFF"/>
      <name val="Arial"/>
      <charset val="1"/>
    </font>
    <font>
      <sz val="10"/>
      <name val="Arial"/>
      <charset val="1"/>
    </font>
    <font>
      <b/>
      <sz val="10"/>
      <color rgb="FF2E75B6"/>
      <name val="Arial"/>
      <charset val="1"/>
    </font>
    <font>
      <b/>
      <sz val="10"/>
      <name val="Arial"/>
      <charset val="1"/>
    </font>
    <font>
      <b/>
      <sz val="10"/>
      <color rgb="FF0000FF"/>
      <name val="Arial"/>
      <charset val="1"/>
    </font>
    <font>
      <b/>
      <sz val="10"/>
      <color rgb="FF000000"/>
      <name val="Arial"/>
      <charset val="1"/>
    </font>
    <font>
      <b/>
      <sz val="10"/>
      <color rgb="FF008000"/>
      <name val="Arial"/>
      <charset val="1"/>
    </font>
    <font>
      <b/>
      <sz val="10"/>
      <color rgb="FFFF0000"/>
      <name val="Arial"/>
      <charset val="1"/>
    </font>
    <font>
      <b/>
      <sz val="10"/>
      <color rgb="FFFFF2CC"/>
      <name val="Arial"/>
      <charset val="1"/>
    </font>
    <font>
      <sz val="10"/>
      <color rgb="FF595959"/>
      <name val="Arial"/>
      <charset val="1"/>
    </font>
    <font>
      <b/>
      <sz val="14"/>
      <color rgb="FFFFFFFF"/>
      <name val="Arial"/>
      <charset val="1"/>
    </font>
    <font>
      <b/>
      <sz val="11"/>
      <color rgb="FFFFFFFF"/>
      <name val="Arial"/>
      <charset val="1"/>
    </font>
    <font>
      <sz val="10"/>
      <color rgb="FF0000FF"/>
      <name val="Arial"/>
      <charset val="1"/>
    </font>
    <font>
      <sz val="10"/>
      <name val="Arial"/>
      <family val="2"/>
    </font>
    <font>
      <sz val="10"/>
      <color rgb="FF000000"/>
      <name val="Arial"/>
      <charset val="1"/>
    </font>
    <font>
      <sz val="10"/>
      <color rgb="FF008000"/>
      <name val="Arial"/>
      <charset val="1"/>
    </font>
    <font>
      <i/>
      <sz val="10"/>
      <color rgb="FF595959"/>
      <name val="Arial"/>
      <charset val="1"/>
    </font>
    <font>
      <b/>
      <sz val="10"/>
      <color rgb="FFFFFFFF"/>
      <name val="Arial"/>
      <charset val="1"/>
    </font>
    <font>
      <b/>
      <sz val="11"/>
      <name val="Arial"/>
      <charset val="1"/>
    </font>
  </fonts>
  <fills count="10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2E75B6"/>
        <bgColor rgb="FF4472C4"/>
      </patternFill>
    </fill>
    <fill>
      <patternFill patternType="solid">
        <fgColor rgb="FFDEEAF1"/>
        <bgColor rgb="FFE2EFDA"/>
      </patternFill>
    </fill>
    <fill>
      <patternFill patternType="solid">
        <fgColor rgb="FFFFFFFF"/>
        <bgColor rgb="FFF9F9F9"/>
      </patternFill>
    </fill>
    <fill>
      <patternFill patternType="solid">
        <fgColor rgb="FFE2EFDA"/>
        <bgColor rgb="FFDEEAF1"/>
      </patternFill>
    </fill>
    <fill>
      <patternFill patternType="solid">
        <fgColor rgb="FF000000"/>
        <bgColor rgb="FF003300"/>
      </patternFill>
    </fill>
    <fill>
      <patternFill patternType="solid">
        <fgColor rgb="FFFFF2CC"/>
        <bgColor rgb="FFFCE4D6"/>
      </patternFill>
    </fill>
    <fill>
      <patternFill patternType="solid">
        <fgColor rgb="FFFCE4D6"/>
        <bgColor rgb="FFFFF2CC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9" fillId="0" borderId="0" xfId="0" applyFont="1" applyBorder="1" applyAlignment="1"/>
    <xf numFmtId="0" fontId="13" fillId="2" borderId="0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left" vertical="center" indent="1"/>
    </xf>
    <xf numFmtId="0" fontId="12" fillId="4" borderId="1" xfId="0" applyFont="1" applyFill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top" wrapText="1" indent="1"/>
    </xf>
    <xf numFmtId="0" fontId="4" fillId="5" borderId="1" xfId="0" applyFont="1" applyFill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center" indent="1"/>
    </xf>
    <xf numFmtId="0" fontId="2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0" fillId="0" borderId="0" xfId="0" applyAlignment="1"/>
    <xf numFmtId="0" fontId="5" fillId="4" borderId="1" xfId="0" applyFont="1" applyFill="1" applyBorder="1" applyAlignment="1">
      <alignment horizontal="left" vertical="center" indent="1"/>
    </xf>
    <xf numFmtId="0" fontId="5" fillId="5" borderId="1" xfId="0" applyFont="1" applyFill="1" applyBorder="1" applyAlignment="1">
      <alignment horizontal="left" vertical="center" indent="1"/>
    </xf>
    <xf numFmtId="0" fontId="6" fillId="6" borderId="1" xfId="0" applyFont="1" applyFill="1" applyBorder="1" applyAlignment="1">
      <alignment horizontal="left" vertical="top" wrapText="1" indent="1"/>
    </xf>
    <xf numFmtId="0" fontId="7" fillId="5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indent="1"/>
    </xf>
    <xf numFmtId="0" fontId="6" fillId="5" borderId="1" xfId="0" applyFont="1" applyFill="1" applyBorder="1" applyAlignment="1">
      <alignment horizontal="left" vertical="center" indent="1"/>
    </xf>
    <xf numFmtId="0" fontId="14" fillId="3" borderId="0" xfId="0" applyFont="1" applyFill="1" applyAlignment="1">
      <alignment horizontal="center" vertical="center"/>
    </xf>
    <xf numFmtId="164" fontId="15" fillId="8" borderId="1" xfId="0" applyNumberFormat="1" applyFont="1" applyFill="1" applyBorder="1" applyAlignment="1">
      <alignment horizontal="right" vertical="center"/>
    </xf>
    <xf numFmtId="165" fontId="15" fillId="8" borderId="1" xfId="0" applyNumberFormat="1" applyFont="1" applyFill="1" applyBorder="1" applyAlignment="1">
      <alignment horizontal="right" vertical="center"/>
    </xf>
    <xf numFmtId="166" fontId="15" fillId="8" borderId="1" xfId="0" applyNumberFormat="1" applyFont="1" applyFill="1" applyBorder="1" applyAlignment="1">
      <alignment horizontal="right" vertical="center"/>
    </xf>
    <xf numFmtId="1" fontId="15" fillId="8" borderId="1" xfId="0" applyNumberFormat="1" applyFont="1" applyFill="1" applyBorder="1" applyAlignment="1">
      <alignment horizontal="right" vertical="center"/>
    </xf>
    <xf numFmtId="9" fontId="15" fillId="8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/>
    </xf>
    <xf numFmtId="164" fontId="15" fillId="4" borderId="1" xfId="0" applyNumberFormat="1" applyFont="1" applyFill="1" applyBorder="1" applyAlignment="1">
      <alignment horizontal="right" vertical="center"/>
    </xf>
    <xf numFmtId="164" fontId="17" fillId="4" borderId="1" xfId="0" applyNumberFormat="1" applyFont="1" applyFill="1" applyBorder="1" applyAlignment="1">
      <alignment horizontal="right" vertical="center"/>
    </xf>
    <xf numFmtId="1" fontId="17" fillId="4" borderId="1" xfId="0" applyNumberFormat="1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center" vertical="center"/>
    </xf>
    <xf numFmtId="164" fontId="15" fillId="5" borderId="1" xfId="0" applyNumberFormat="1" applyFont="1" applyFill="1" applyBorder="1" applyAlignment="1">
      <alignment horizontal="right" vertical="center"/>
    </xf>
    <xf numFmtId="164" fontId="17" fillId="5" borderId="1" xfId="0" applyNumberFormat="1" applyFont="1" applyFill="1" applyBorder="1" applyAlignment="1">
      <alignment horizontal="right" vertical="center"/>
    </xf>
    <xf numFmtId="1" fontId="17" fillId="5" borderId="1" xfId="0" applyNumberFormat="1" applyFont="1" applyFill="1" applyBorder="1" applyAlignment="1">
      <alignment horizontal="right" vertical="center"/>
    </xf>
    <xf numFmtId="0" fontId="4" fillId="9" borderId="1" xfId="0" applyFont="1" applyFill="1" applyBorder="1" applyAlignment="1">
      <alignment horizontal="center" vertical="center"/>
    </xf>
    <xf numFmtId="164" fontId="15" fillId="9" borderId="1" xfId="0" applyNumberFormat="1" applyFont="1" applyFill="1" applyBorder="1" applyAlignment="1">
      <alignment horizontal="right" vertical="center"/>
    </xf>
    <xf numFmtId="164" fontId="17" fillId="9" borderId="1" xfId="0" applyNumberFormat="1" applyFont="1" applyFill="1" applyBorder="1" applyAlignment="1">
      <alignment horizontal="right" vertical="center"/>
    </xf>
    <xf numFmtId="1" fontId="17" fillId="9" borderId="1" xfId="0" applyNumberFormat="1" applyFont="1" applyFill="1" applyBorder="1" applyAlignment="1">
      <alignment horizontal="right" vertical="center"/>
    </xf>
    <xf numFmtId="0" fontId="18" fillId="4" borderId="1" xfId="0" applyFont="1" applyFill="1" applyBorder="1" applyAlignment="1">
      <alignment horizontal="right" vertical="center"/>
    </xf>
    <xf numFmtId="164" fontId="18" fillId="4" borderId="1" xfId="0" applyNumberFormat="1" applyFont="1" applyFill="1" applyBorder="1" applyAlignment="1">
      <alignment horizontal="right" vertical="center"/>
    </xf>
    <xf numFmtId="165" fontId="18" fillId="4" borderId="1" xfId="0" applyNumberFormat="1" applyFont="1" applyFill="1" applyBorder="1" applyAlignment="1">
      <alignment horizontal="right" vertical="center"/>
    </xf>
    <xf numFmtId="165" fontId="17" fillId="4" borderId="1" xfId="0" applyNumberFormat="1" applyFont="1" applyFill="1" applyBorder="1" applyAlignment="1">
      <alignment horizontal="right" vertical="center"/>
    </xf>
    <xf numFmtId="166" fontId="17" fillId="4" borderId="1" xfId="0" applyNumberFormat="1" applyFont="1" applyFill="1" applyBorder="1" applyAlignment="1">
      <alignment horizontal="right" vertical="center"/>
    </xf>
    <xf numFmtId="164" fontId="4" fillId="4" borderId="1" xfId="0" applyNumberFormat="1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right" vertical="center"/>
    </xf>
    <xf numFmtId="164" fontId="18" fillId="5" borderId="1" xfId="0" applyNumberFormat="1" applyFont="1" applyFill="1" applyBorder="1" applyAlignment="1">
      <alignment horizontal="right" vertical="center"/>
    </xf>
    <xf numFmtId="165" fontId="18" fillId="5" borderId="1" xfId="0" applyNumberFormat="1" applyFont="1" applyFill="1" applyBorder="1" applyAlignment="1">
      <alignment horizontal="right" vertical="center"/>
    </xf>
    <xf numFmtId="165" fontId="17" fillId="5" borderId="1" xfId="0" applyNumberFormat="1" applyFont="1" applyFill="1" applyBorder="1" applyAlignment="1">
      <alignment horizontal="right" vertical="center"/>
    </xf>
    <xf numFmtId="166" fontId="17" fillId="5" borderId="1" xfId="0" applyNumberFormat="1" applyFont="1" applyFill="1" applyBorder="1" applyAlignment="1">
      <alignment horizontal="right" vertical="center"/>
    </xf>
    <xf numFmtId="164" fontId="4" fillId="5" borderId="1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164" fontId="0" fillId="0" borderId="0" xfId="0" applyNumberFormat="1" applyAlignment="1"/>
    <xf numFmtId="165" fontId="0" fillId="0" borderId="0" xfId="0" applyNumberFormat="1" applyAlignment="1"/>
    <xf numFmtId="0" fontId="4" fillId="0" borderId="0" xfId="0" applyFont="1" applyAlignment="1"/>
    <xf numFmtId="164" fontId="4" fillId="0" borderId="0" xfId="0" applyNumberFormat="1" applyFont="1" applyAlignment="1"/>
    <xf numFmtId="0" fontId="21" fillId="4" borderId="1" xfId="0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164" fontId="14" fillId="2" borderId="1" xfId="0" applyNumberFormat="1" applyFont="1" applyFill="1" applyBorder="1" applyAlignment="1">
      <alignment horizontal="center" vertical="center"/>
    </xf>
    <xf numFmtId="165" fontId="14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78787"/>
      <rgbColor rgb="FF9999FF"/>
      <rgbColor rgb="FFC0504D"/>
      <rgbColor rgb="FFFFF2CC"/>
      <rgbColor rgb="FFDEEAF1"/>
      <rgbColor rgb="FF660066"/>
      <rgbColor rgb="FFFF8080"/>
      <rgbColor rgb="FF2E75B6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9F9F9"/>
      <rgbColor rgb="FFE2EFDA"/>
      <rgbColor rgb="FFFFFF99"/>
      <rgbColor rgb="FF99CCFF"/>
      <rgbColor rgb="FFFF99CC"/>
      <rgbColor rgb="FFCC99FF"/>
      <rgbColor rgb="FFFCE4D6"/>
      <rgbColor rgb="FF4472C4"/>
      <rgbColor rgb="FF33CCCC"/>
      <rgbColor rgb="FF9BBB59"/>
      <rgbColor rgb="FFFFCC00"/>
      <rgbColor rgb="FFFF9900"/>
      <rgbColor rgb="FFED7D31"/>
      <rgbColor rgb="FF595959"/>
      <rgbColor rgb="FF70AD47"/>
      <rgbColor rgb="FF1F3864"/>
      <rgbColor rgb="FF4F81BD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New ARR vs. Net Commission by Rep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Charts!$B$4</c:f>
              <c:strCache>
                <c:ptCount val="1"/>
                <c:pt idx="0">
                  <c:v>New ARR</c:v>
                </c:pt>
              </c:strCache>
            </c:strRef>
          </c:tx>
          <c:spPr>
            <a:solidFill>
              <a:srgbClr val="2E75B6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he-IL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Charts!$A$5:$A$6</c:f>
              <c:strCache>
                <c:ptCount val="2"/>
                <c:pt idx="0">
                  <c:v>Alice</c:v>
                </c:pt>
                <c:pt idx="1">
                  <c:v>Bob</c:v>
                </c:pt>
              </c:strCache>
            </c:strRef>
          </c:cat>
          <c:val>
            <c:numRef>
              <c:f>Charts!$B$5:$B$6</c:f>
              <c:numCache>
                <c:formatCode>\$#,##0</c:formatCode>
                <c:ptCount val="2"/>
                <c:pt idx="0">
                  <c:v>140000</c:v>
                </c:pt>
                <c:pt idx="1">
                  <c:v>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4A-4754-AAE6-DE503FA877BA}"/>
            </c:ext>
          </c:extLst>
        </c:ser>
        <c:ser>
          <c:idx val="1"/>
          <c:order val="1"/>
          <c:tx>
            <c:strRef>
              <c:f>Charts!$E$4</c:f>
              <c:strCache>
                <c:ptCount val="1"/>
                <c:pt idx="0">
                  <c:v>Net Payout</c:v>
                </c:pt>
              </c:strCache>
            </c:strRef>
          </c:tx>
          <c:spPr>
            <a:solidFill>
              <a:srgbClr val="70AD47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he-IL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Charts!$A$5:$A$6</c:f>
              <c:strCache>
                <c:ptCount val="2"/>
                <c:pt idx="0">
                  <c:v>Alice</c:v>
                </c:pt>
                <c:pt idx="1">
                  <c:v>Bob</c:v>
                </c:pt>
              </c:strCache>
            </c:strRef>
          </c:cat>
          <c:val>
            <c:numRef>
              <c:f>Charts!$E$5:$E$6</c:f>
              <c:numCache>
                <c:formatCode>\$#,##0</c:formatCode>
                <c:ptCount val="2"/>
                <c:pt idx="0">
                  <c:v>17150</c:v>
                </c:pt>
                <c:pt idx="1">
                  <c:v>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4A-4754-AAE6-DE503FA87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612618"/>
        <c:axId val="16827784"/>
      </c:barChart>
      <c:catAx>
        <c:axId val="92612618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Sales Rep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he-IL"/>
          </a:p>
        </c:txPr>
        <c:crossAx val="16827784"/>
        <c:crosses val="autoZero"/>
        <c:auto val="1"/>
        <c:lblAlgn val="ctr"/>
        <c:lblOffset val="100"/>
        <c:noMultiLvlLbl val="0"/>
      </c:catAx>
      <c:valAx>
        <c:axId val="1682778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USD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he-IL"/>
          </a:p>
        </c:txPr>
        <c:crossAx val="92612618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he-IL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Gross Comm vs. Net Payout (Clawback Impact)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Charts!$C$4</c:f>
              <c:strCache>
                <c:ptCount val="1"/>
                <c:pt idx="0">
                  <c:v>Total Comm</c:v>
                </c:pt>
              </c:strCache>
            </c:strRef>
          </c:tx>
          <c:spPr>
            <a:solidFill>
              <a:srgbClr val="ED7D31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he-IL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Charts!$A$5:$A$6</c:f>
              <c:strCache>
                <c:ptCount val="2"/>
                <c:pt idx="0">
                  <c:v>Alice</c:v>
                </c:pt>
                <c:pt idx="1">
                  <c:v>Bob</c:v>
                </c:pt>
              </c:strCache>
            </c:strRef>
          </c:cat>
          <c:val>
            <c:numRef>
              <c:f>Charts!$C$5:$C$6</c:f>
              <c:numCache>
                <c:formatCode>\$#,##0</c:formatCode>
                <c:ptCount val="2"/>
                <c:pt idx="0">
                  <c:v>17150</c:v>
                </c:pt>
                <c:pt idx="1">
                  <c:v>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49-4B58-A296-CE3A9310C621}"/>
            </c:ext>
          </c:extLst>
        </c:ser>
        <c:ser>
          <c:idx val="1"/>
          <c:order val="1"/>
          <c:tx>
            <c:strRef>
              <c:f>Charts!$E$4</c:f>
              <c:strCache>
                <c:ptCount val="1"/>
                <c:pt idx="0">
                  <c:v>Net Payout</c:v>
                </c:pt>
              </c:strCache>
            </c:strRef>
          </c:tx>
          <c:spPr>
            <a:solidFill>
              <a:srgbClr val="70AD47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he-IL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Charts!$A$5:$A$6</c:f>
              <c:strCache>
                <c:ptCount val="2"/>
                <c:pt idx="0">
                  <c:v>Alice</c:v>
                </c:pt>
                <c:pt idx="1">
                  <c:v>Bob</c:v>
                </c:pt>
              </c:strCache>
            </c:strRef>
          </c:cat>
          <c:val>
            <c:numRef>
              <c:f>Charts!$E$5:$E$6</c:f>
              <c:numCache>
                <c:formatCode>\$#,##0</c:formatCode>
                <c:ptCount val="2"/>
                <c:pt idx="0">
                  <c:v>17150</c:v>
                </c:pt>
                <c:pt idx="1">
                  <c:v>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49-4B58-A296-CE3A9310C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858010"/>
        <c:axId val="82729662"/>
      </c:barChart>
      <c:catAx>
        <c:axId val="96858010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Sales Rep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he-IL"/>
          </a:p>
        </c:txPr>
        <c:crossAx val="82729662"/>
        <c:crosses val="autoZero"/>
        <c:auto val="1"/>
        <c:lblAlgn val="ctr"/>
        <c:lblOffset val="100"/>
        <c:noMultiLvlLbl val="0"/>
      </c:catAx>
      <c:valAx>
        <c:axId val="8272966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Commission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he-IL"/>
          </a:p>
        </c:txPr>
        <c:crossAx val="96858010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he-IL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% of Annual Quota Achieved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Charts!$F$4</c:f>
              <c:strCache>
                <c:ptCount val="1"/>
                <c:pt idx="0">
                  <c:v>% of Quota</c:v>
                </c:pt>
              </c:strCache>
            </c:strRef>
          </c:tx>
          <c:spPr>
            <a:solidFill>
              <a:srgbClr val="4472C4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he-IL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Charts!$A$5:$A$6</c:f>
              <c:strCache>
                <c:ptCount val="2"/>
                <c:pt idx="0">
                  <c:v>Alice</c:v>
                </c:pt>
                <c:pt idx="1">
                  <c:v>Bob</c:v>
                </c:pt>
              </c:strCache>
            </c:strRef>
          </c:cat>
          <c:val>
            <c:numRef>
              <c:f>Charts!$F$5:$F$6</c:f>
              <c:numCache>
                <c:formatCode>0.0%</c:formatCode>
                <c:ptCount val="2"/>
                <c:pt idx="0">
                  <c:v>1.1666666666666667</c:v>
                </c:pt>
                <c:pt idx="1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A2-44EF-96EC-437CAFC1E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2375710"/>
        <c:axId val="88095105"/>
      </c:barChart>
      <c:catAx>
        <c:axId val="92375710"/>
        <c:scaling>
          <c:orientation val="minMax"/>
        </c:scaling>
        <c:delete val="0"/>
        <c:axPos val="l"/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% of Quota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he-IL"/>
          </a:p>
        </c:txPr>
        <c:crossAx val="88095105"/>
        <c:crosses val="autoZero"/>
        <c:auto val="1"/>
        <c:lblAlgn val="ctr"/>
        <c:lblOffset val="100"/>
        <c:noMultiLvlLbl val="0"/>
      </c:catAx>
      <c:valAx>
        <c:axId val="88095105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Sales Rep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he-IL"/>
          </a:p>
        </c:txPr>
        <c:crossAx val="92375710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he-IL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ARR Mix by Deal Type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Charts!$J$28</c:f>
              <c:strCache>
                <c:ptCount val="1"/>
                <c:pt idx="0">
                  <c:v>ARR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EC-4F39-98CE-734EBB9CF7B1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3-5EEC-4F39-98CE-734EBB9CF7B1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  <a:ln w="9360">
                <a:solidFill>
                  <a:srgbClr val="F9F9F9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5-5EEC-4F39-98CE-734EBB9CF7B1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he-IL"/>
                </a:p>
              </c:txPr>
              <c:dLblPos val="bestFit"/>
              <c:showLegendKey val="0"/>
              <c:showVal val="0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1-5EEC-4F39-98CE-734EBB9CF7B1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he-IL"/>
                </a:p>
              </c:txPr>
              <c:dLblPos val="bestFit"/>
              <c:showLegendKey val="0"/>
              <c:showVal val="0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3-5EEC-4F39-98CE-734EBB9CF7B1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he-IL"/>
                </a:p>
              </c:txPr>
              <c:dLblPos val="bestFit"/>
              <c:showLegendKey val="0"/>
              <c:showVal val="0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5-5EEC-4F39-98CE-734EBB9CF7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he-IL"/>
              </a:p>
            </c:txPr>
            <c:dLblPos val="bestFit"/>
            <c:showLegendKey val="0"/>
            <c:showVal val="0"/>
            <c:showCatName val="1"/>
            <c:showSerName val="1"/>
            <c:showPercent val="1"/>
            <c:showBubbleSize val="1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Charts!$I$29:$I$31</c:f>
              <c:strCache>
                <c:ptCount val="3"/>
                <c:pt idx="0">
                  <c:v>New</c:v>
                </c:pt>
                <c:pt idx="1">
                  <c:v>Renewal</c:v>
                </c:pt>
                <c:pt idx="2">
                  <c:v>Expansion</c:v>
                </c:pt>
              </c:strCache>
            </c:strRef>
          </c:cat>
          <c:val>
            <c:numRef>
              <c:f>Charts!$J$29:$J$31</c:f>
              <c:numCache>
                <c:formatCode>\$#,##0</c:formatCode>
                <c:ptCount val="3"/>
                <c:pt idx="0">
                  <c:v>220000</c:v>
                </c:pt>
                <c:pt idx="1">
                  <c:v>50000</c:v>
                </c:pt>
                <c:pt idx="2">
                  <c:v>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EEC-4F39-98CE-734EBB9CF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he-IL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.kova.co.il/contac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13</xdr:col>
      <xdr:colOff>390525</xdr:colOff>
      <xdr:row>51</xdr:row>
      <xdr:rowOff>123825</xdr:rowOff>
    </xdr:to>
    <xdr:pic>
      <xdr:nvPicPr>
        <xdr:cNvPr id="2" name="תמונה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28A0A9-1009-4F17-944C-5FE99D3FF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79371075" y="19050"/>
          <a:ext cx="8315325" cy="94316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5</xdr:col>
      <xdr:colOff>246240</xdr:colOff>
      <xdr:row>26</xdr:row>
      <xdr:rowOff>170280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8</xdr:row>
      <xdr:rowOff>0</xdr:rowOff>
    </xdr:from>
    <xdr:to>
      <xdr:col>15</xdr:col>
      <xdr:colOff>147240</xdr:colOff>
      <xdr:row>26</xdr:row>
      <xdr:rowOff>170280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27</xdr:row>
      <xdr:rowOff>0</xdr:rowOff>
    </xdr:from>
    <xdr:to>
      <xdr:col>5</xdr:col>
      <xdr:colOff>246240</xdr:colOff>
      <xdr:row>42</xdr:row>
      <xdr:rowOff>21960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7</xdr:col>
      <xdr:colOff>0</xdr:colOff>
      <xdr:row>27</xdr:row>
      <xdr:rowOff>0</xdr:rowOff>
    </xdr:from>
    <xdr:to>
      <xdr:col>14</xdr:col>
      <xdr:colOff>398880</xdr:colOff>
      <xdr:row>45</xdr:row>
      <xdr:rowOff>170280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06873-1AC2-4DDD-83C5-8B2DD55AA3EF}">
  <dimension ref="A1"/>
  <sheetViews>
    <sheetView rightToLeft="1" tabSelected="1" workbookViewId="0">
      <selection activeCell="J56" sqref="J56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opLeftCell="A10" zoomScaleNormal="100" workbookViewId="0">
      <selection activeCell="C6" sqref="C6"/>
    </sheetView>
  </sheetViews>
  <sheetFormatPr defaultColWidth="8.6640625" defaultRowHeight="14.4" x14ac:dyDescent="0.3"/>
  <cols>
    <col min="1" max="1" width="28" style="13" customWidth="1"/>
    <col min="2" max="2" width="40" style="13" customWidth="1"/>
    <col min="3" max="4" width="16" style="13" customWidth="1"/>
  </cols>
  <sheetData>
    <row r="1" spans="1:4" ht="36" customHeight="1" x14ac:dyDescent="0.3">
      <c r="A1" s="12" t="s">
        <v>0</v>
      </c>
      <c r="B1" s="12"/>
      <c r="C1" s="12"/>
      <c r="D1" s="12"/>
    </row>
    <row r="2" spans="1:4" ht="19.5" customHeight="1" x14ac:dyDescent="0.3">
      <c r="A2" s="11" t="s">
        <v>1</v>
      </c>
      <c r="B2" s="11"/>
      <c r="C2" s="11"/>
      <c r="D2" s="11"/>
    </row>
    <row r="4" spans="1:4" ht="21.75" customHeight="1" x14ac:dyDescent="0.3">
      <c r="A4" s="10" t="s">
        <v>2</v>
      </c>
      <c r="B4" s="10"/>
      <c r="C4" s="10"/>
      <c r="D4" s="10"/>
    </row>
    <row r="5" spans="1:4" ht="39.75" customHeight="1" x14ac:dyDescent="0.3">
      <c r="A5" s="9" t="s">
        <v>3</v>
      </c>
      <c r="B5" s="9"/>
      <c r="C5" s="9"/>
      <c r="D5" s="9"/>
    </row>
    <row r="7" spans="1:4" ht="21.75" customHeight="1" x14ac:dyDescent="0.3">
      <c r="A7" s="10" t="s">
        <v>4</v>
      </c>
      <c r="B7" s="10"/>
      <c r="C7" s="10"/>
      <c r="D7" s="10"/>
    </row>
    <row r="8" spans="1:4" ht="21.75" customHeight="1" x14ac:dyDescent="0.3">
      <c r="A8" s="14" t="s">
        <v>5</v>
      </c>
      <c r="B8" s="8" t="s">
        <v>6</v>
      </c>
      <c r="C8" s="8"/>
      <c r="D8" s="8"/>
    </row>
    <row r="9" spans="1:4" ht="21.75" customHeight="1" x14ac:dyDescent="0.3">
      <c r="A9" s="15" t="s">
        <v>7</v>
      </c>
      <c r="B9" s="7" t="s">
        <v>8</v>
      </c>
      <c r="C9" s="7"/>
      <c r="D9" s="7"/>
    </row>
    <row r="10" spans="1:4" ht="21.75" customHeight="1" x14ac:dyDescent="0.3">
      <c r="A10" s="14" t="s">
        <v>9</v>
      </c>
      <c r="B10" s="8" t="s">
        <v>10</v>
      </c>
      <c r="C10" s="8"/>
      <c r="D10" s="8"/>
    </row>
    <row r="11" spans="1:4" ht="21.75" customHeight="1" x14ac:dyDescent="0.3">
      <c r="A11" s="15" t="s">
        <v>11</v>
      </c>
      <c r="B11" s="7" t="s">
        <v>12</v>
      </c>
      <c r="C11" s="7"/>
      <c r="D11" s="7"/>
    </row>
    <row r="12" spans="1:4" ht="21.75" customHeight="1" x14ac:dyDescent="0.3">
      <c r="A12" s="14" t="s">
        <v>13</v>
      </c>
      <c r="B12" s="8" t="s">
        <v>14</v>
      </c>
      <c r="C12" s="8"/>
      <c r="D12" s="8"/>
    </row>
    <row r="14" spans="1:4" ht="21.75" customHeight="1" x14ac:dyDescent="0.3">
      <c r="A14" s="10" t="s">
        <v>15</v>
      </c>
      <c r="B14" s="10"/>
      <c r="C14" s="10"/>
      <c r="D14" s="10"/>
    </row>
    <row r="15" spans="1:4" ht="36" customHeight="1" x14ac:dyDescent="0.3">
      <c r="A15" s="16" t="s">
        <v>16</v>
      </c>
      <c r="B15" s="6" t="s">
        <v>17</v>
      </c>
      <c r="C15" s="6"/>
      <c r="D15" s="6"/>
    </row>
    <row r="16" spans="1:4" ht="36" customHeight="1" x14ac:dyDescent="0.3">
      <c r="A16" s="16" t="s">
        <v>18</v>
      </c>
      <c r="B16" s="6" t="s">
        <v>19</v>
      </c>
      <c r="C16" s="6"/>
      <c r="D16" s="6"/>
    </row>
    <row r="17" spans="1:4" ht="36" customHeight="1" x14ac:dyDescent="0.3">
      <c r="A17" s="16" t="s">
        <v>20</v>
      </c>
      <c r="B17" s="6" t="s">
        <v>21</v>
      </c>
      <c r="C17" s="6"/>
      <c r="D17" s="6"/>
    </row>
    <row r="18" spans="1:4" ht="36" customHeight="1" x14ac:dyDescent="0.3">
      <c r="A18" s="16" t="s">
        <v>22</v>
      </c>
      <c r="B18" s="6" t="s">
        <v>23</v>
      </c>
      <c r="C18" s="6"/>
      <c r="D18" s="6"/>
    </row>
    <row r="19" spans="1:4" ht="36" customHeight="1" x14ac:dyDescent="0.3">
      <c r="A19" s="16" t="s">
        <v>24</v>
      </c>
      <c r="B19" s="6" t="s">
        <v>25</v>
      </c>
      <c r="C19" s="6"/>
      <c r="D19" s="6"/>
    </row>
    <row r="20" spans="1:4" ht="36" customHeight="1" x14ac:dyDescent="0.3">
      <c r="A20" s="16" t="s">
        <v>26</v>
      </c>
      <c r="B20" s="6" t="s">
        <v>27</v>
      </c>
      <c r="C20" s="6"/>
      <c r="D20" s="6"/>
    </row>
    <row r="22" spans="1:4" ht="21.75" customHeight="1" x14ac:dyDescent="0.3">
      <c r="A22" s="10" t="s">
        <v>28</v>
      </c>
      <c r="B22" s="10"/>
      <c r="C22" s="10"/>
      <c r="D22" s="10"/>
    </row>
    <row r="23" spans="1:4" ht="19.5" customHeight="1" x14ac:dyDescent="0.3">
      <c r="A23" s="17" t="s">
        <v>29</v>
      </c>
      <c r="B23" s="5" t="s">
        <v>30</v>
      </c>
      <c r="C23" s="5"/>
      <c r="D23" s="5"/>
    </row>
    <row r="24" spans="1:4" ht="19.5" customHeight="1" x14ac:dyDescent="0.3">
      <c r="A24" s="18" t="s">
        <v>31</v>
      </c>
      <c r="B24" s="5" t="s">
        <v>32</v>
      </c>
      <c r="C24" s="5"/>
      <c r="D24" s="5"/>
    </row>
    <row r="25" spans="1:4" ht="19.5" customHeight="1" x14ac:dyDescent="0.3">
      <c r="A25" s="19" t="s">
        <v>33</v>
      </c>
      <c r="B25" s="5" t="s">
        <v>34</v>
      </c>
      <c r="C25" s="5"/>
      <c r="D25" s="5"/>
    </row>
    <row r="26" spans="1:4" ht="19.5" customHeight="1" x14ac:dyDescent="0.3">
      <c r="A26" s="20" t="s">
        <v>35</v>
      </c>
      <c r="B26" s="5" t="s">
        <v>36</v>
      </c>
      <c r="C26" s="5"/>
      <c r="D26" s="5"/>
    </row>
    <row r="27" spans="1:4" ht="19.5" customHeight="1" x14ac:dyDescent="0.3">
      <c r="A27" s="21" t="s">
        <v>37</v>
      </c>
      <c r="B27" s="5" t="s">
        <v>38</v>
      </c>
      <c r="C27" s="5"/>
      <c r="D27" s="5"/>
    </row>
    <row r="29" spans="1:4" ht="21.75" customHeight="1" x14ac:dyDescent="0.3">
      <c r="A29" s="10" t="s">
        <v>39</v>
      </c>
      <c r="B29" s="10"/>
      <c r="C29" s="10"/>
      <c r="D29" s="10"/>
    </row>
    <row r="30" spans="1:4" ht="19.5" customHeight="1" x14ac:dyDescent="0.3">
      <c r="A30" s="22" t="s">
        <v>40</v>
      </c>
      <c r="B30" s="4" t="s">
        <v>41</v>
      </c>
      <c r="C30" s="4"/>
      <c r="D30" s="4"/>
    </row>
    <row r="31" spans="1:4" ht="19.5" customHeight="1" x14ac:dyDescent="0.3">
      <c r="A31" s="23" t="s">
        <v>42</v>
      </c>
      <c r="B31" s="3" t="s">
        <v>43</v>
      </c>
      <c r="C31" s="3"/>
      <c r="D31" s="3"/>
    </row>
    <row r="32" spans="1:4" ht="19.5" customHeight="1" x14ac:dyDescent="0.3">
      <c r="A32" s="22" t="s">
        <v>44</v>
      </c>
      <c r="B32" s="4" t="s">
        <v>45</v>
      </c>
      <c r="C32" s="4"/>
      <c r="D32" s="4"/>
    </row>
    <row r="33" spans="1:4" ht="19.5" customHeight="1" x14ac:dyDescent="0.3">
      <c r="A33" s="23" t="s">
        <v>46</v>
      </c>
      <c r="B33" s="3" t="s">
        <v>47</v>
      </c>
      <c r="C33" s="3"/>
      <c r="D33" s="3"/>
    </row>
    <row r="34" spans="1:4" ht="19.5" customHeight="1" x14ac:dyDescent="0.3">
      <c r="A34" s="22" t="s">
        <v>48</v>
      </c>
      <c r="B34" s="4" t="s">
        <v>49</v>
      </c>
      <c r="C34" s="4"/>
      <c r="D34" s="4"/>
    </row>
    <row r="35" spans="1:4" ht="19.5" customHeight="1" x14ac:dyDescent="0.3">
      <c r="A35" s="23" t="s">
        <v>50</v>
      </c>
      <c r="B35" s="3" t="s">
        <v>51</v>
      </c>
      <c r="C35" s="3"/>
      <c r="D35" s="3"/>
    </row>
  </sheetData>
  <mergeCells count="30">
    <mergeCell ref="B31:D31"/>
    <mergeCell ref="B32:D32"/>
    <mergeCell ref="B33:D33"/>
    <mergeCell ref="B34:D34"/>
    <mergeCell ref="B35:D35"/>
    <mergeCell ref="B25:D25"/>
    <mergeCell ref="B26:D26"/>
    <mergeCell ref="B27:D27"/>
    <mergeCell ref="A29:D29"/>
    <mergeCell ref="B30:D30"/>
    <mergeCell ref="B19:D19"/>
    <mergeCell ref="B20:D20"/>
    <mergeCell ref="A22:D22"/>
    <mergeCell ref="B23:D23"/>
    <mergeCell ref="B24:D24"/>
    <mergeCell ref="A14:D14"/>
    <mergeCell ref="B15:D15"/>
    <mergeCell ref="B16:D16"/>
    <mergeCell ref="B17:D17"/>
    <mergeCell ref="B18:D18"/>
    <mergeCell ref="B8:D8"/>
    <mergeCell ref="B9:D9"/>
    <mergeCell ref="B10:D10"/>
    <mergeCell ref="B11:D11"/>
    <mergeCell ref="B12:D12"/>
    <mergeCell ref="A1:D1"/>
    <mergeCell ref="A2:D2"/>
    <mergeCell ref="A4:D4"/>
    <mergeCell ref="A5:D5"/>
    <mergeCell ref="A7:D7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zoomScaleNormal="100" workbookViewId="0">
      <selection sqref="A1:B1"/>
    </sheetView>
  </sheetViews>
  <sheetFormatPr defaultColWidth="8.6640625" defaultRowHeight="14.4" x14ac:dyDescent="0.3"/>
  <cols>
    <col min="1" max="1" width="36" style="13" customWidth="1"/>
    <col min="2" max="2" width="16" style="13" customWidth="1"/>
  </cols>
  <sheetData>
    <row r="1" spans="1:2" ht="27.75" customHeight="1" x14ac:dyDescent="0.3">
      <c r="A1" s="2" t="s">
        <v>52</v>
      </c>
      <c r="B1" s="2"/>
    </row>
    <row r="2" spans="1:2" ht="15" customHeight="1" x14ac:dyDescent="0.3">
      <c r="A2" s="24" t="s">
        <v>53</v>
      </c>
      <c r="B2" s="24" t="s">
        <v>54</v>
      </c>
    </row>
    <row r="3" spans="1:2" ht="19.5" customHeight="1" x14ac:dyDescent="0.3">
      <c r="A3" s="23" t="s">
        <v>55</v>
      </c>
      <c r="B3" s="25">
        <v>120000</v>
      </c>
    </row>
    <row r="4" spans="1:2" ht="19.5" customHeight="1" x14ac:dyDescent="0.3">
      <c r="A4" s="22" t="s">
        <v>56</v>
      </c>
      <c r="B4" s="26">
        <v>0.1</v>
      </c>
    </row>
    <row r="5" spans="1:2" ht="19.5" customHeight="1" x14ac:dyDescent="0.3">
      <c r="A5" s="23" t="s">
        <v>57</v>
      </c>
      <c r="B5" s="26">
        <v>0.04</v>
      </c>
    </row>
    <row r="6" spans="1:2" ht="19.5" customHeight="1" x14ac:dyDescent="0.3">
      <c r="A6" s="22" t="s">
        <v>58</v>
      </c>
      <c r="B6" s="26">
        <v>7.0000000000000007E-2</v>
      </c>
    </row>
    <row r="7" spans="1:2" ht="19.5" customHeight="1" x14ac:dyDescent="0.3">
      <c r="A7" s="23" t="s">
        <v>59</v>
      </c>
      <c r="B7" s="27">
        <v>1.5</v>
      </c>
    </row>
    <row r="8" spans="1:2" ht="19.5" customHeight="1" x14ac:dyDescent="0.3">
      <c r="A8" s="22" t="s">
        <v>60</v>
      </c>
      <c r="B8" s="27">
        <v>2</v>
      </c>
    </row>
    <row r="9" spans="1:2" ht="19.5" customHeight="1" x14ac:dyDescent="0.3">
      <c r="A9" s="23" t="s">
        <v>61</v>
      </c>
      <c r="B9" s="28">
        <v>6</v>
      </c>
    </row>
    <row r="10" spans="1:2" ht="19.5" customHeight="1" x14ac:dyDescent="0.3">
      <c r="A10" s="22" t="s">
        <v>62</v>
      </c>
      <c r="B10" s="29">
        <v>1</v>
      </c>
    </row>
  </sheetData>
  <mergeCells count="1">
    <mergeCell ref="A1:B1"/>
  </mergeCells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"/>
  <sheetViews>
    <sheetView zoomScaleNormal="100" workbookViewId="0">
      <pane ySplit="1" topLeftCell="A2" activePane="bottomLeft" state="frozen"/>
      <selection pane="bottomLeft"/>
    </sheetView>
  </sheetViews>
  <sheetFormatPr defaultColWidth="8.6640625" defaultRowHeight="14.4" x14ac:dyDescent="0.3"/>
  <cols>
    <col min="1" max="1" width="8" style="13" customWidth="1"/>
    <col min="2" max="2" width="16" style="13" customWidth="1"/>
    <col min="3" max="3" width="10" style="13" customWidth="1"/>
    <col min="4" max="4" width="14" style="13" customWidth="1"/>
    <col min="5" max="7" width="12" style="13" customWidth="1"/>
    <col min="8" max="8" width="10" style="13" customWidth="1"/>
    <col min="9" max="10" width="14" style="13" customWidth="1"/>
  </cols>
  <sheetData>
    <row r="1" spans="1:10" ht="15" customHeight="1" x14ac:dyDescent="0.3">
      <c r="A1" s="24" t="s">
        <v>63</v>
      </c>
      <c r="B1" s="24" t="s">
        <v>64</v>
      </c>
      <c r="C1" s="24" t="s">
        <v>65</v>
      </c>
      <c r="D1" s="24" t="s">
        <v>66</v>
      </c>
      <c r="E1" s="24" t="s">
        <v>67</v>
      </c>
      <c r="F1" s="24" t="s">
        <v>68</v>
      </c>
      <c r="G1" s="24" t="s">
        <v>69</v>
      </c>
      <c r="H1" s="24" t="s">
        <v>70</v>
      </c>
      <c r="I1" s="24" t="s">
        <v>71</v>
      </c>
      <c r="J1" s="24" t="s">
        <v>72</v>
      </c>
    </row>
    <row r="2" spans="1:10" ht="15" customHeight="1" x14ac:dyDescent="0.3">
      <c r="A2" s="30" t="s">
        <v>73</v>
      </c>
      <c r="B2" s="30" t="s">
        <v>74</v>
      </c>
      <c r="C2" s="30" t="s">
        <v>75</v>
      </c>
      <c r="D2" s="30" t="s">
        <v>76</v>
      </c>
      <c r="E2" s="30" t="s">
        <v>77</v>
      </c>
      <c r="F2" s="31">
        <v>60000</v>
      </c>
      <c r="G2" s="32">
        <f t="shared" ref="G2:G7" si="0">F2/12</f>
        <v>5000</v>
      </c>
      <c r="H2" s="30" t="s">
        <v>78</v>
      </c>
      <c r="I2" s="30"/>
      <c r="J2" s="33">
        <f t="shared" ref="J2:J7" ca="1" si="1">IF(I2="",DATEDIF(D2,TODAY(),"m"),DATEDIF(D2,I2,"m"))</f>
        <v>5</v>
      </c>
    </row>
    <row r="3" spans="1:10" ht="15" customHeight="1" x14ac:dyDescent="0.3">
      <c r="A3" s="34" t="s">
        <v>79</v>
      </c>
      <c r="B3" s="34" t="s">
        <v>80</v>
      </c>
      <c r="C3" s="34" t="s">
        <v>75</v>
      </c>
      <c r="D3" s="34" t="s">
        <v>81</v>
      </c>
      <c r="E3" s="34" t="s">
        <v>77</v>
      </c>
      <c r="F3" s="35">
        <v>45000</v>
      </c>
      <c r="G3" s="36">
        <f t="shared" si="0"/>
        <v>3750</v>
      </c>
      <c r="H3" s="34" t="s">
        <v>78</v>
      </c>
      <c r="I3" s="34"/>
      <c r="J3" s="37">
        <f t="shared" ca="1" si="1"/>
        <v>4</v>
      </c>
    </row>
    <row r="4" spans="1:10" ht="15" customHeight="1" x14ac:dyDescent="0.3">
      <c r="A4" s="30" t="s">
        <v>82</v>
      </c>
      <c r="B4" s="30" t="s">
        <v>83</v>
      </c>
      <c r="C4" s="30" t="s">
        <v>75</v>
      </c>
      <c r="D4" s="30" t="s">
        <v>84</v>
      </c>
      <c r="E4" s="30" t="s">
        <v>85</v>
      </c>
      <c r="F4" s="31">
        <v>20000</v>
      </c>
      <c r="G4" s="32">
        <f t="shared" si="0"/>
        <v>1666.6666666666667</v>
      </c>
      <c r="H4" s="30" t="s">
        <v>78</v>
      </c>
      <c r="I4" s="30"/>
      <c r="J4" s="33">
        <f t="shared" ca="1" si="1"/>
        <v>4</v>
      </c>
    </row>
    <row r="5" spans="1:10" ht="15" customHeight="1" x14ac:dyDescent="0.3">
      <c r="A5" s="38" t="s">
        <v>86</v>
      </c>
      <c r="B5" s="38" t="s">
        <v>87</v>
      </c>
      <c r="C5" s="38" t="s">
        <v>88</v>
      </c>
      <c r="D5" s="38" t="s">
        <v>89</v>
      </c>
      <c r="E5" s="38" t="s">
        <v>77</v>
      </c>
      <c r="F5" s="39">
        <v>80000</v>
      </c>
      <c r="G5" s="40">
        <f t="shared" si="0"/>
        <v>6666.666666666667</v>
      </c>
      <c r="H5" s="38" t="s">
        <v>90</v>
      </c>
      <c r="I5" s="38" t="s">
        <v>91</v>
      </c>
      <c r="J5" s="41">
        <f t="shared" ca="1" si="1"/>
        <v>2</v>
      </c>
    </row>
    <row r="6" spans="1:10" ht="15" customHeight="1" x14ac:dyDescent="0.3">
      <c r="A6" s="30" t="s">
        <v>92</v>
      </c>
      <c r="B6" s="30" t="s">
        <v>93</v>
      </c>
      <c r="C6" s="30" t="s">
        <v>88</v>
      </c>
      <c r="D6" s="30" t="s">
        <v>94</v>
      </c>
      <c r="E6" s="30" t="s">
        <v>95</v>
      </c>
      <c r="F6" s="31">
        <v>50000</v>
      </c>
      <c r="G6" s="32">
        <f t="shared" si="0"/>
        <v>4166.666666666667</v>
      </c>
      <c r="H6" s="30" t="s">
        <v>78</v>
      </c>
      <c r="I6" s="30"/>
      <c r="J6" s="33">
        <f t="shared" ca="1" si="1"/>
        <v>3</v>
      </c>
    </row>
    <row r="7" spans="1:10" ht="15" customHeight="1" x14ac:dyDescent="0.3">
      <c r="A7" s="34" t="s">
        <v>96</v>
      </c>
      <c r="B7" s="34" t="s">
        <v>97</v>
      </c>
      <c r="C7" s="34" t="s">
        <v>75</v>
      </c>
      <c r="D7" s="34" t="s">
        <v>98</v>
      </c>
      <c r="E7" s="34" t="s">
        <v>77</v>
      </c>
      <c r="F7" s="35">
        <v>35000</v>
      </c>
      <c r="G7" s="36">
        <f t="shared" si="0"/>
        <v>2916.6666666666665</v>
      </c>
      <c r="H7" s="34" t="s">
        <v>78</v>
      </c>
      <c r="I7" s="34"/>
      <c r="J7" s="37">
        <f t="shared" ca="1" si="1"/>
        <v>3</v>
      </c>
    </row>
  </sheetData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7"/>
  <sheetViews>
    <sheetView zoomScaleNormal="100" workbookViewId="0">
      <pane ySplit="1" topLeftCell="A2" activePane="bottomLeft" state="frozen"/>
      <selection pane="bottomLeft"/>
    </sheetView>
  </sheetViews>
  <sheetFormatPr defaultColWidth="8.6640625" defaultRowHeight="14.4" x14ac:dyDescent="0.3"/>
  <cols>
    <col min="1" max="1" width="8" style="13" customWidth="1"/>
    <col min="2" max="2" width="10" style="13" customWidth="1"/>
    <col min="3" max="4" width="12" style="13" customWidth="1"/>
    <col min="5" max="5" width="11" style="13" customWidth="1"/>
    <col min="6" max="6" width="16" style="13" customWidth="1"/>
    <col min="7" max="7" width="12" style="13" customWidth="1"/>
    <col min="8" max="9" width="13" style="13" customWidth="1"/>
    <col min="10" max="11" width="12" style="13" customWidth="1"/>
  </cols>
  <sheetData>
    <row r="1" spans="1:11" ht="15" customHeight="1" x14ac:dyDescent="0.3">
      <c r="A1" s="24" t="s">
        <v>63</v>
      </c>
      <c r="B1" s="24" t="s">
        <v>65</v>
      </c>
      <c r="C1" s="24" t="s">
        <v>67</v>
      </c>
      <c r="D1" s="24" t="s">
        <v>99</v>
      </c>
      <c r="E1" s="24" t="s">
        <v>100</v>
      </c>
      <c r="F1" s="24" t="s">
        <v>46</v>
      </c>
      <c r="G1" s="24" t="s">
        <v>101</v>
      </c>
      <c r="H1" s="24" t="s">
        <v>44</v>
      </c>
      <c r="I1" s="24" t="s">
        <v>102</v>
      </c>
      <c r="J1" s="24" t="s">
        <v>103</v>
      </c>
      <c r="K1" s="24" t="s">
        <v>104</v>
      </c>
    </row>
    <row r="2" spans="1:11" ht="15" customHeight="1" x14ac:dyDescent="0.3">
      <c r="A2" s="42" t="str">
        <f>Deals!A2</f>
        <v>D001</v>
      </c>
      <c r="B2" s="42" t="str">
        <f>Deals!C2</f>
        <v>Alice</v>
      </c>
      <c r="C2" s="42" t="str">
        <f>Deals!E2</f>
        <v>New</v>
      </c>
      <c r="D2" s="43">
        <f>Deals!F2</f>
        <v>60000</v>
      </c>
      <c r="E2" s="44">
        <f>IF(C2="New",Settings!$B$4,IF(C2="Renewal",Settings!$B$5,Settings!$B$6))</f>
        <v>0.1</v>
      </c>
      <c r="F2" s="32">
        <f>SUMIFS(Deals!$F$2:F2,Deals!$C$2:C2,B2,Deals!$E$2:E2,"New")</f>
        <v>60000</v>
      </c>
      <c r="G2" s="45">
        <f>F2/Settings!$B$3</f>
        <v>0.5</v>
      </c>
      <c r="H2" s="46">
        <f>IF(C2&lt;&gt;"New",1,IF(G2&lt;=1,1,IF(G2&lt;=1.5,Settings!$B$7,Settings!$B$8)))</f>
        <v>1</v>
      </c>
      <c r="I2" s="32">
        <f t="shared" ref="I2:I7" si="0">D2*E2*H2</f>
        <v>6000</v>
      </c>
      <c r="J2" s="47">
        <f ca="1">IF(AND(Deals!H2="Churned",Deals!J2&lt;Settings!$B$9),I2*Settings!$B$10,0)</f>
        <v>0</v>
      </c>
      <c r="K2" s="47">
        <f t="shared" ref="K2:K7" ca="1" si="1">I2-J2</f>
        <v>6000</v>
      </c>
    </row>
    <row r="3" spans="1:11" ht="15" customHeight="1" x14ac:dyDescent="0.3">
      <c r="A3" s="48" t="str">
        <f>Deals!A3</f>
        <v>D002</v>
      </c>
      <c r="B3" s="48" t="str">
        <f>Deals!C3</f>
        <v>Alice</v>
      </c>
      <c r="C3" s="48" t="str">
        <f>Deals!E3</f>
        <v>New</v>
      </c>
      <c r="D3" s="49">
        <f>Deals!F3</f>
        <v>45000</v>
      </c>
      <c r="E3" s="50">
        <f>IF(C3="New",Settings!$B$4,IF(C3="Renewal",Settings!$B$5,Settings!$B$6))</f>
        <v>0.1</v>
      </c>
      <c r="F3" s="36">
        <f>SUMIFS(Deals!$F$2:F3,Deals!$C$2:C3,B3,Deals!$E$2:E3,"New")</f>
        <v>105000</v>
      </c>
      <c r="G3" s="51">
        <f>F3/Settings!$B$3</f>
        <v>0.875</v>
      </c>
      <c r="H3" s="52">
        <f>IF(C3&lt;&gt;"New",1,IF(G3&lt;=1,1,IF(G3&lt;=1.5,Settings!$B$7,Settings!$B$8)))</f>
        <v>1</v>
      </c>
      <c r="I3" s="36">
        <f t="shared" si="0"/>
        <v>4500</v>
      </c>
      <c r="J3" s="53">
        <f ca="1">IF(AND(Deals!H3="Churned",Deals!J3&lt;Settings!$B$9),I3*Settings!$B$10,0)</f>
        <v>0</v>
      </c>
      <c r="K3" s="53">
        <f t="shared" ca="1" si="1"/>
        <v>4500</v>
      </c>
    </row>
    <row r="4" spans="1:11" ht="15" customHeight="1" x14ac:dyDescent="0.3">
      <c r="A4" s="42" t="str">
        <f>Deals!A4</f>
        <v>D003</v>
      </c>
      <c r="B4" s="42" t="str">
        <f>Deals!C4</f>
        <v>Alice</v>
      </c>
      <c r="C4" s="42" t="str">
        <f>Deals!E4</f>
        <v>Expansion</v>
      </c>
      <c r="D4" s="43">
        <f>Deals!F4</f>
        <v>20000</v>
      </c>
      <c r="E4" s="44">
        <f>IF(C4="New",Settings!$B$4,IF(C4="Renewal",Settings!$B$5,Settings!$B$6))</f>
        <v>7.0000000000000007E-2</v>
      </c>
      <c r="F4" s="32">
        <f>SUMIFS(Deals!$F$2:F4,Deals!$C$2:C4,B4,Deals!$E$2:E4,"New")</f>
        <v>105000</v>
      </c>
      <c r="G4" s="45">
        <f>F4/Settings!$B$3</f>
        <v>0.875</v>
      </c>
      <c r="H4" s="46">
        <f>IF(C4&lt;&gt;"New",1,IF(G4&lt;=1,1,IF(G4&lt;=1.5,Settings!$B$7,Settings!$B$8)))</f>
        <v>1</v>
      </c>
      <c r="I4" s="32">
        <f t="shared" si="0"/>
        <v>1400.0000000000002</v>
      </c>
      <c r="J4" s="47">
        <f ca="1">IF(AND(Deals!H4="Churned",Deals!J4&lt;Settings!$B$9),I4*Settings!$B$10,0)</f>
        <v>0</v>
      </c>
      <c r="K4" s="47">
        <f t="shared" ca="1" si="1"/>
        <v>1400.0000000000002</v>
      </c>
    </row>
    <row r="5" spans="1:11" ht="15" customHeight="1" x14ac:dyDescent="0.3">
      <c r="A5" s="48" t="str">
        <f>Deals!A5</f>
        <v>D004</v>
      </c>
      <c r="B5" s="48" t="str">
        <f>Deals!C5</f>
        <v>Bob</v>
      </c>
      <c r="C5" s="48" t="str">
        <f>Deals!E5</f>
        <v>New</v>
      </c>
      <c r="D5" s="49">
        <f>Deals!F5</f>
        <v>80000</v>
      </c>
      <c r="E5" s="50">
        <f>IF(C5="New",Settings!$B$4,IF(C5="Renewal",Settings!$B$5,Settings!$B$6))</f>
        <v>0.1</v>
      </c>
      <c r="F5" s="36">
        <f>SUMIFS(Deals!$F$2:F5,Deals!$C$2:C5,B5,Deals!$E$2:E5,"New")</f>
        <v>80000</v>
      </c>
      <c r="G5" s="51">
        <f>F5/Settings!$B$3</f>
        <v>0.66666666666666663</v>
      </c>
      <c r="H5" s="52">
        <f>IF(C5&lt;&gt;"New",1,IF(G5&lt;=1,1,IF(G5&lt;=1.5,Settings!$B$7,Settings!$B$8)))</f>
        <v>1</v>
      </c>
      <c r="I5" s="36">
        <f t="shared" si="0"/>
        <v>8000</v>
      </c>
      <c r="J5" s="53">
        <f ca="1">IF(AND(Deals!H5="Churned",Deals!J5&lt;Settings!$B$9),I5*Settings!$B$10,0)</f>
        <v>8000</v>
      </c>
      <c r="K5" s="53">
        <f t="shared" ca="1" si="1"/>
        <v>0</v>
      </c>
    </row>
    <row r="6" spans="1:11" ht="15" customHeight="1" x14ac:dyDescent="0.3">
      <c r="A6" s="42" t="str">
        <f>Deals!A6</f>
        <v>D005</v>
      </c>
      <c r="B6" s="42" t="str">
        <f>Deals!C6</f>
        <v>Bob</v>
      </c>
      <c r="C6" s="42" t="str">
        <f>Deals!E6</f>
        <v>Renewal</v>
      </c>
      <c r="D6" s="43">
        <f>Deals!F6</f>
        <v>50000</v>
      </c>
      <c r="E6" s="44">
        <f>IF(C6="New",Settings!$B$4,IF(C6="Renewal",Settings!$B$5,Settings!$B$6))</f>
        <v>0.04</v>
      </c>
      <c r="F6" s="32">
        <f>SUMIFS(Deals!$F$2:F6,Deals!$C$2:C6,B6,Deals!$E$2:E6,"New")</f>
        <v>80000</v>
      </c>
      <c r="G6" s="45">
        <f>F6/Settings!$B$3</f>
        <v>0.66666666666666663</v>
      </c>
      <c r="H6" s="46">
        <f>IF(C6&lt;&gt;"New",1,IF(G6&lt;=1,1,IF(G6&lt;=1.5,Settings!$B$7,Settings!$B$8)))</f>
        <v>1</v>
      </c>
      <c r="I6" s="32">
        <f t="shared" si="0"/>
        <v>2000</v>
      </c>
      <c r="J6" s="47">
        <f ca="1">IF(AND(Deals!H6="Churned",Deals!J6&lt;Settings!$B$9),I6*Settings!$B$10,0)</f>
        <v>0</v>
      </c>
      <c r="K6" s="47">
        <f t="shared" ca="1" si="1"/>
        <v>2000</v>
      </c>
    </row>
    <row r="7" spans="1:11" ht="15" customHeight="1" x14ac:dyDescent="0.3">
      <c r="A7" s="48" t="str">
        <f>Deals!A7</f>
        <v>D006</v>
      </c>
      <c r="B7" s="48" t="str">
        <f>Deals!C7</f>
        <v>Alice</v>
      </c>
      <c r="C7" s="48" t="str">
        <f>Deals!E7</f>
        <v>New</v>
      </c>
      <c r="D7" s="49">
        <f>Deals!F7</f>
        <v>35000</v>
      </c>
      <c r="E7" s="50">
        <f>IF(C7="New",Settings!$B$4,IF(C7="Renewal",Settings!$B$5,Settings!$B$6))</f>
        <v>0.1</v>
      </c>
      <c r="F7" s="36">
        <f>SUMIFS(Deals!$F$2:F7,Deals!$C$2:C7,B7,Deals!$E$2:E7,"New")</f>
        <v>140000</v>
      </c>
      <c r="G7" s="51">
        <f>F7/Settings!$B$3</f>
        <v>1.1666666666666667</v>
      </c>
      <c r="H7" s="52">
        <f>IF(C7&lt;&gt;"New",1,IF(G7&lt;=1,1,IF(G7&lt;=1.5,Settings!$B$7,Settings!$B$8)))</f>
        <v>1.5</v>
      </c>
      <c r="I7" s="36">
        <f t="shared" si="0"/>
        <v>5250</v>
      </c>
      <c r="J7" s="53">
        <f ca="1">IF(AND(Deals!H7="Churned",Deals!J7&lt;Settings!$B$9),I7*Settings!$B$10,0)</f>
        <v>0</v>
      </c>
      <c r="K7" s="53">
        <f t="shared" ca="1" si="1"/>
        <v>5250</v>
      </c>
    </row>
  </sheetData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1"/>
  <sheetViews>
    <sheetView zoomScaleNormal="100" workbookViewId="0">
      <selection sqref="A1:M1"/>
    </sheetView>
  </sheetViews>
  <sheetFormatPr defaultColWidth="8.6640625" defaultRowHeight="14.4" x14ac:dyDescent="0.3"/>
  <cols>
    <col min="1" max="1" width="12" style="13" customWidth="1"/>
    <col min="2" max="6" width="14" style="13" customWidth="1"/>
  </cols>
  <sheetData>
    <row r="1" spans="1:13" ht="30" customHeight="1" x14ac:dyDescent="0.3">
      <c r="A1" s="2" t="s">
        <v>105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 x14ac:dyDescent="0.3">
      <c r="A2" s="1" t="s">
        <v>106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4" spans="1:13" ht="15" customHeight="1" x14ac:dyDescent="0.3">
      <c r="A4" s="54" t="s">
        <v>65</v>
      </c>
      <c r="B4" s="54" t="s">
        <v>107</v>
      </c>
      <c r="C4" s="54" t="s">
        <v>108</v>
      </c>
      <c r="D4" s="54" t="s">
        <v>103</v>
      </c>
      <c r="E4" s="54" t="s">
        <v>109</v>
      </c>
      <c r="F4" s="54" t="s">
        <v>101</v>
      </c>
    </row>
    <row r="5" spans="1:13" ht="15" customHeight="1" x14ac:dyDescent="0.3">
      <c r="A5" s="13" t="str">
        <f>Dashboard!A4</f>
        <v>Alice</v>
      </c>
      <c r="B5" s="55">
        <f>Dashboard!B4</f>
        <v>140000</v>
      </c>
      <c r="C5" s="55">
        <f>Dashboard!D4</f>
        <v>17150</v>
      </c>
      <c r="D5" s="55">
        <f ca="1">Dashboard!E4</f>
        <v>0</v>
      </c>
      <c r="E5" s="55">
        <f ca="1">Dashboard!F4</f>
        <v>17150</v>
      </c>
      <c r="F5" s="56">
        <f>Dashboard!C4</f>
        <v>1.1666666666666667</v>
      </c>
    </row>
    <row r="6" spans="1:13" ht="15" customHeight="1" x14ac:dyDescent="0.3">
      <c r="A6" s="13" t="str">
        <f>Dashboard!A5</f>
        <v>Bob</v>
      </c>
      <c r="B6" s="55">
        <f>Dashboard!B5</f>
        <v>80000</v>
      </c>
      <c r="C6" s="55">
        <f>Dashboard!D5</f>
        <v>10000</v>
      </c>
      <c r="D6" s="55">
        <f ca="1">Dashboard!E5</f>
        <v>8000</v>
      </c>
      <c r="E6" s="55">
        <f ca="1">Dashboard!F5</f>
        <v>2000</v>
      </c>
      <c r="F6" s="56">
        <f>Dashboard!C5</f>
        <v>0.66666666666666663</v>
      </c>
    </row>
    <row r="28" spans="9:10" ht="15" customHeight="1" x14ac:dyDescent="0.3">
      <c r="I28" s="54" t="s">
        <v>110</v>
      </c>
      <c r="J28" s="54" t="s">
        <v>99</v>
      </c>
    </row>
    <row r="29" spans="9:10" ht="15" customHeight="1" x14ac:dyDescent="0.3">
      <c r="I29" s="57" t="s">
        <v>77</v>
      </c>
      <c r="J29" s="58">
        <f>SUMIF(Deals!E:E,"New",Deals!F:F)</f>
        <v>220000</v>
      </c>
    </row>
    <row r="30" spans="9:10" ht="15" customHeight="1" x14ac:dyDescent="0.3">
      <c r="I30" s="57" t="s">
        <v>95</v>
      </c>
      <c r="J30" s="58">
        <f>SUMIF(Deals!E:E,"Renewal",Deals!F:F)</f>
        <v>50000</v>
      </c>
    </row>
    <row r="31" spans="9:10" ht="15" customHeight="1" x14ac:dyDescent="0.3">
      <c r="I31" s="57" t="s">
        <v>85</v>
      </c>
      <c r="J31" s="58">
        <f>SUMIF(Deals!E:E,"Expansion",Deals!F:F)</f>
        <v>20000</v>
      </c>
    </row>
  </sheetData>
  <mergeCells count="2">
    <mergeCell ref="A1:M1"/>
    <mergeCell ref="A2:M2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"/>
  <sheetViews>
    <sheetView zoomScaleNormal="100" workbookViewId="0">
      <selection sqref="A1:F1"/>
    </sheetView>
  </sheetViews>
  <sheetFormatPr defaultColWidth="8.6640625" defaultRowHeight="14.4" x14ac:dyDescent="0.3"/>
  <cols>
    <col min="1" max="1" width="12" style="13" customWidth="1"/>
    <col min="2" max="2" width="16" style="13" customWidth="1"/>
    <col min="3" max="3" width="14" style="13" customWidth="1"/>
    <col min="4" max="4" width="16" style="13" customWidth="1"/>
    <col min="5" max="6" width="14" style="13" customWidth="1"/>
  </cols>
  <sheetData>
    <row r="1" spans="1:6" ht="30" customHeight="1" x14ac:dyDescent="0.3">
      <c r="A1" s="2" t="s">
        <v>111</v>
      </c>
      <c r="B1" s="2"/>
      <c r="C1" s="2"/>
      <c r="D1" s="2"/>
      <c r="E1" s="2"/>
      <c r="F1" s="2"/>
    </row>
    <row r="2" spans="1:6" ht="7.5" customHeight="1" x14ac:dyDescent="0.3"/>
    <row r="3" spans="1:6" ht="15" customHeight="1" x14ac:dyDescent="0.3">
      <c r="A3" s="24" t="s">
        <v>65</v>
      </c>
      <c r="B3" s="24" t="s">
        <v>107</v>
      </c>
      <c r="C3" s="24" t="s">
        <v>101</v>
      </c>
      <c r="D3" s="24" t="s">
        <v>108</v>
      </c>
      <c r="E3" s="24" t="s">
        <v>103</v>
      </c>
      <c r="F3" s="24" t="s">
        <v>109</v>
      </c>
    </row>
    <row r="4" spans="1:6" ht="15" customHeight="1" x14ac:dyDescent="0.3">
      <c r="A4" s="59" t="s">
        <v>75</v>
      </c>
      <c r="B4" s="43">
        <f>SUMIFS(Deals!F:F,Deals!C:C,A4,Deals!E:E,"New")</f>
        <v>140000</v>
      </c>
      <c r="C4" s="44">
        <f>B4/Settings!$B$3</f>
        <v>1.1666666666666667</v>
      </c>
      <c r="D4" s="43">
        <f>SUMIF(Commissions!B:B,A4,Commissions!I:I)</f>
        <v>17150</v>
      </c>
      <c r="E4" s="43">
        <f ca="1">SUMIF(Commissions!B:B,A4,Commissions!J:J)</f>
        <v>0</v>
      </c>
      <c r="F4" s="43">
        <f ca="1">SUMIF(Commissions!B:B,A4,Commissions!K:K)</f>
        <v>17150</v>
      </c>
    </row>
    <row r="5" spans="1:6" ht="15" customHeight="1" x14ac:dyDescent="0.3">
      <c r="A5" s="60" t="s">
        <v>88</v>
      </c>
      <c r="B5" s="49">
        <f>SUMIFS(Deals!F:F,Deals!C:C,A5,Deals!E:E,"New")</f>
        <v>80000</v>
      </c>
      <c r="C5" s="50">
        <f>B5/Settings!$B$3</f>
        <v>0.66666666666666663</v>
      </c>
      <c r="D5" s="49">
        <f>SUMIF(Commissions!B:B,A5,Commissions!I:I)</f>
        <v>10000</v>
      </c>
      <c r="E5" s="49">
        <f ca="1">SUMIF(Commissions!B:B,A5,Commissions!J:J)</f>
        <v>8000</v>
      </c>
      <c r="F5" s="49">
        <f ca="1">SUMIF(Commissions!B:B,A5,Commissions!K:K)</f>
        <v>2000</v>
      </c>
    </row>
    <row r="6" spans="1:6" ht="15" customHeight="1" x14ac:dyDescent="0.3">
      <c r="A6" s="61" t="s">
        <v>112</v>
      </c>
      <c r="B6" s="62">
        <f>SUM(B4:B5)</f>
        <v>220000</v>
      </c>
      <c r="C6" s="63">
        <f>SUM(C4:C5)</f>
        <v>1.8333333333333335</v>
      </c>
      <c r="D6" s="62">
        <f>SUM(D4:D5)</f>
        <v>27150</v>
      </c>
      <c r="E6" s="62">
        <f ca="1">SUM(E4:E5)</f>
        <v>8000</v>
      </c>
      <c r="F6" s="62">
        <f ca="1">SUM(F4:F5)</f>
        <v>19150</v>
      </c>
    </row>
  </sheetData>
  <mergeCells count="1">
    <mergeCell ref="A1:F1"/>
  </mergeCells>
  <pageMargins left="0.75" right="0.75" top="1" bottom="1" header="0.511811023622047" footer="0.511811023622047"/>
  <pageSetup paperSize="9" orientation="portrait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7</vt:i4>
      </vt:variant>
    </vt:vector>
  </HeadingPairs>
  <TitlesOfParts>
    <vt:vector size="7" baseType="lpstr">
      <vt:lpstr>ברוכים הבאים</vt:lpstr>
      <vt:lpstr>📖 Instructions</vt:lpstr>
      <vt:lpstr>Settings</vt:lpstr>
      <vt:lpstr>Deals</vt:lpstr>
      <vt:lpstr>Commissions</vt:lpstr>
      <vt:lpstr>Charts</vt:lpstr>
      <vt:lpstr>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Eyal Bardugo</cp:lastModifiedBy>
  <cp:revision>2</cp:revision>
  <dcterms:created xsi:type="dcterms:W3CDTF">2026-04-11T16:05:56Z</dcterms:created>
  <dcterms:modified xsi:type="dcterms:W3CDTF">2026-06-21T04:54:58Z</dcterms:modified>
  <dc:language>en-US</dc:language>
</cp:coreProperties>
</file>