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wp\excel\static\files\"/>
    </mc:Choice>
  </mc:AlternateContent>
  <xr:revisionPtr revIDLastSave="0" documentId="13_ncr:1_{C50EFDA3-C356-4EEC-A161-4A91E4AD415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ברוכים הבאים" sheetId="6" r:id="rId1"/>
    <sheet name="תפריט" sheetId="5" r:id="rId2"/>
    <sheet name="נדלן" sheetId="1" r:id="rId3"/>
    <sheet name="טבלת רגישות" sheetId="3" r:id="rId4"/>
    <sheet name="השוואת תרחישים" sheetId="4" r:id="rId5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5" l="1"/>
  <c r="E14" i="5"/>
  <c r="C14" i="5"/>
  <c r="D16" i="4"/>
  <c r="F16" i="4"/>
  <c r="F15" i="4"/>
  <c r="F14" i="4"/>
  <c r="F13" i="4"/>
  <c r="F12" i="4"/>
  <c r="F11" i="4"/>
  <c r="F10" i="4"/>
  <c r="E15" i="4"/>
  <c r="E14" i="4"/>
  <c r="E13" i="4"/>
  <c r="E12" i="4"/>
  <c r="E11" i="4"/>
  <c r="E10" i="4"/>
  <c r="D15" i="4"/>
  <c r="D14" i="4"/>
  <c r="D13" i="4"/>
  <c r="D12" i="4"/>
  <c r="D11" i="4"/>
  <c r="D10" i="4"/>
  <c r="C7" i="4"/>
  <c r="C6" i="4"/>
  <c r="C5" i="4"/>
  <c r="C7" i="3"/>
  <c r="D7" i="3"/>
  <c r="E7" i="3"/>
  <c r="F7" i="3"/>
  <c r="G7" i="3"/>
  <c r="H7" i="3"/>
  <c r="I7" i="3"/>
  <c r="C8" i="3"/>
  <c r="D8" i="3"/>
  <c r="E8" i="3"/>
  <c r="F8" i="3"/>
  <c r="G8" i="3"/>
  <c r="H8" i="3"/>
  <c r="I8" i="3"/>
  <c r="C9" i="3"/>
  <c r="D9" i="3"/>
  <c r="E9" i="3"/>
  <c r="F9" i="3"/>
  <c r="G9" i="3"/>
  <c r="H9" i="3"/>
  <c r="I9" i="3"/>
  <c r="C10" i="3"/>
  <c r="D10" i="3"/>
  <c r="E10" i="3"/>
  <c r="F10" i="3"/>
  <c r="G10" i="3"/>
  <c r="H10" i="3"/>
  <c r="I10" i="3"/>
  <c r="C11" i="3"/>
  <c r="D11" i="3"/>
  <c r="E11" i="3"/>
  <c r="F11" i="3"/>
  <c r="G11" i="3"/>
  <c r="H11" i="3"/>
  <c r="I11" i="3"/>
  <c r="C12" i="3"/>
  <c r="D12" i="3"/>
  <c r="E12" i="3"/>
  <c r="F12" i="3"/>
  <c r="G12" i="3"/>
  <c r="H12" i="3"/>
  <c r="I12" i="3"/>
  <c r="Q37" i="1"/>
  <c r="Q38" i="1"/>
  <c r="S19" i="1"/>
  <c r="R19" i="1"/>
  <c r="Q33" i="1"/>
  <c r="Q31" i="1"/>
  <c r="Q30" i="1"/>
  <c r="Q24" i="1"/>
  <c r="Q22" i="1"/>
  <c r="Q21" i="1"/>
  <c r="Q19" i="1"/>
  <c r="Q13" i="1"/>
  <c r="Q11" i="1"/>
  <c r="Q10" i="1"/>
  <c r="Q9" i="1"/>
  <c r="Q8" i="1"/>
  <c r="Q5" i="1"/>
  <c r="Q4" i="1"/>
  <c r="Q3" i="1"/>
  <c r="M19" i="1"/>
  <c r="E34" i="1"/>
  <c r="E30" i="1"/>
  <c r="C62" i="1" s="1"/>
  <c r="E62" i="1" s="1"/>
  <c r="C61" i="1" l="1"/>
  <c r="E61" i="1" s="1"/>
  <c r="C60" i="1"/>
  <c r="E60" i="1" s="1"/>
  <c r="C63" i="1"/>
  <c r="D62" i="1"/>
  <c r="D61" i="1"/>
  <c r="E35" i="1"/>
  <c r="E36" i="1"/>
  <c r="E37" i="1"/>
  <c r="E31" i="1"/>
  <c r="E32" i="1" s="1"/>
  <c r="D60" i="1" l="1"/>
  <c r="E68" i="1"/>
  <c r="E63" i="1"/>
  <c r="E64" i="1" s="1"/>
  <c r="D63" i="1"/>
  <c r="C64" i="1"/>
  <c r="E48" i="1"/>
  <c r="E39" i="1"/>
  <c r="E69" i="1" l="1"/>
  <c r="E67" i="1"/>
  <c r="E41" i="1"/>
  <c r="E49" i="1" s="1"/>
  <c r="E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9" authorId="0" shapeId="0" xr:uid="{BB374A50-F3B6-4E22-BC5C-291FCAD6F1C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ברירת מחדל: 2%. ניתן לשנות לפי הסכם עם הלקוח.</t>
        </r>
      </text>
    </comment>
    <comment ref="E10" authorId="0" shapeId="0" xr:uid="{3F03054D-D47D-4B84-B073-29519876777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1 = קונה או מוכר בלבד משלם עמלה
2 = שני הצדדים משלמים עמלה (העמלה מוכפלת)</t>
        </r>
      </text>
    </comment>
    <comment ref="E11" authorId="0" shapeId="0" xr:uid="{DDC9464D-1796-4315-A4E0-553610A84D9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את סכום העמלות שהמתווך צבר מתחילת השנה — לפני העסקה הנוכחית.
הסכום קובע באיזו מדרגת Split נמצא המתווך.</t>
        </r>
      </text>
    </comment>
    <comment ref="D20" authorId="0" shapeId="0" xr:uid="{A8A77920-7F2D-431C-9524-982627F4B27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בכל מדרגה, סכום שלושת האחוזים (מתווך + סוכנות + מנהל) חייב להסתכם ל-100%.</t>
        </r>
      </text>
    </comment>
    <comment ref="E34" authorId="0" shapeId="0" xr:uid="{874CB363-B3E2-4D87-928A-F51D8B2E510F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מחושב אוטומטית לפי הצבר השנתי ומדרגות ה-Split בטבלה למעלה.</t>
        </r>
      </text>
    </comment>
    <comment ref="E39" authorId="0" shapeId="0" xr:uid="{F9BFB3E3-67C2-4063-A9B6-0BC04AF6BF9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הצבר המעודכן כולל את חלק המתווך מהעסקה הנוכחית.
משמש לחישוב אחוז העמידה ביעד ולקביעת המדרגה בעסקה הבאה.</t>
        </r>
      </text>
    </comment>
    <comment ref="E41" authorId="0" shapeId="0" xr:uid="{E77DBD59-F1B4-4034-919E-15F83E2CC92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בונוס 5% מחושב רק על הסכום שמעל היעד השנתי.
דוגמה: יעד 600K, צבר 650K → בונוס = 5% × 50K = 2,500 ₪</t>
        </r>
      </text>
    </comment>
    <comment ref="E48" authorId="0" shapeId="0" xr:uid="{FE61C2B0-B243-44CA-8CFB-56CD7CB0600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עמלת הבסיס הקבועה — נחשבת כהכנסה פנסיונית לצורך הפרשות.</t>
        </r>
      </text>
    </comment>
    <comment ref="E49" authorId="0" shapeId="0" xr:uid="{EB06A30D-5521-495C-BA0C-70045F1D30F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בונוס מותנה — אינו מהווה שכר פנסיוני ולא ייכלל בבסיס ההפרשות.</t>
        </r>
      </text>
    </comment>
    <comment ref="B58" authorId="0" shapeId="0" xr:uid="{29ADFAEE-70EC-48C4-9791-F43ACB1AC773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בניגוד לחישוב הרגיל למעלה, כאן כל חלק של העמלה החוצה לטווח מדרגה מחושב לפי אחוז הספליט של אותה המדרגה בלבד.</t>
        </r>
      </text>
    </comment>
    <comment ref="E67" authorId="0" shapeId="0" xr:uid="{79525F3E-8810-4E9B-904B-AAD450380489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הסכום הנכון: כל חלק של העמלה מחושב לפי אחוז המדרגה הרלוונטית.</t>
        </r>
      </text>
    </comment>
    <comment ref="E69" authorId="0" shapeId="0" xr:uid="{865A73D0-D86E-4EE3-935C-B46D0644D375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כשההפרש אינו אפס — העסקה כולה במדרגה אחת ואין טעות בחישוב הפשוט.</t>
        </r>
      </text>
    </comment>
  </commentList>
</comments>
</file>

<file path=xl/sharedStrings.xml><?xml version="1.0" encoding="utf-8"?>
<sst xmlns="http://schemas.openxmlformats.org/spreadsheetml/2006/main" count="128" uniqueCount="124">
  <si>
    <t>מחשבון עמלות נדל"ן</t>
  </si>
  <si>
    <t>◆ פרטי העסקה</t>
  </si>
  <si>
    <t>שם המתווך</t>
  </si>
  <si>
    <t>דני כהן</t>
  </si>
  <si>
    <t>סניף</t>
  </si>
  <si>
    <t>תל אביב מרכז</t>
  </si>
  <si>
    <t>מחיר העסקה (₪)</t>
  </si>
  <si>
    <t>אחוז עמלה</t>
  </si>
  <si>
    <t>צדדים משלמים (1 או 2)</t>
  </si>
  <si>
    <t>צבר עמלות מתחילת השנה</t>
  </si>
  <si>
    <t>יעד שנתי לבונוס</t>
  </si>
  <si>
    <t>◆ מדרגות Split (ניתנות לעריכה)</t>
  </si>
  <si>
    <t>מ-(₪)</t>
  </si>
  <si>
    <t>עד (₪)</t>
  </si>
  <si>
    <t>מתווך</t>
  </si>
  <si>
    <t>סוכנות</t>
  </si>
  <si>
    <t>מנהל</t>
  </si>
  <si>
    <t>◆ תוצאות החישוב</t>
  </si>
  <si>
    <t>סה"כ עמלה (לפני מע"מ)</t>
  </si>
  <si>
    <t>מע"מ 18%</t>
  </si>
  <si>
    <t>סה"כ כולל מע"מ</t>
  </si>
  <si>
    <t>אחוז Split למתווך</t>
  </si>
  <si>
    <t>◆ חלק המתווך</t>
  </si>
  <si>
    <t>חלק הסוכנות</t>
  </si>
  <si>
    <t>חלק מנהל הסניף</t>
  </si>
  <si>
    <t>צבר שנתי חדש</t>
  </si>
  <si>
    <t>אחוז עמידה ביעד</t>
  </si>
  <si>
    <t>בונוס מעל היעד (5%)</t>
  </si>
  <si>
    <t>◆ הפרדה להפרשות פנסיוניות</t>
  </si>
  <si>
    <t>עמלה קבועה (פנסיוני)</t>
  </si>
  <si>
    <t>פרמיה מותנית (לא פנסיוני)</t>
  </si>
  <si>
    <t>◆ סימולטור מדרגות — Split מדורג אמיתי</t>
  </si>
  <si>
    <t>פירוט חישוב עמלת המתווך לפי חציית מדרגות</t>
  </si>
  <si>
    <t>מדרגה</t>
  </si>
  <si>
    <t>עמלה במדרגה (₪)</t>
  </si>
  <si>
    <t>אחוז Split</t>
  </si>
  <si>
    <t>חלק המתווך (₪)</t>
  </si>
  <si>
    <t>0 – 100K</t>
  </si>
  <si>
    <t>100K – 250K</t>
  </si>
  <si>
    <t>250K – 500K</t>
  </si>
  <si>
    <t>500K+</t>
  </si>
  <si>
    <t>סה"כ</t>
  </si>
  <si>
    <t>השוואה: חישוב מדורג מול מדרגה יחידה</t>
  </si>
  <si>
    <t>✅ מדורג אמיתי (נכון)</t>
  </si>
  <si>
    <t>⚠️ מדרגה יחידה (שיטת המחשבון הנוכחי)</t>
  </si>
  <si>
    <t>הפרש</t>
  </si>
  <si>
    <t>💡 למה חישוב מדורג?</t>
  </si>
  <si>
    <t>המחשבון הרגיל לעיל מחיל מדרגת Split אחת על כל העמלה — זו לפי הצבר בתחילת העסקה.</t>
  </si>
  <si>
    <t>אך כאשר הצבר השנתי שלך נמצא קרוב לסף מדרגה, עסקה גדולה תחצה אותו — וחלק מהעמלה יחושב לפי אחוז גבוה יותר.</t>
  </si>
  <si>
    <t>דוגמה: צבר 80,000 ₪ ועמלה של 60,000 ₪ — 20,000 הראשונים נחשבים ב-50%, והיתרה ב-60%. ההפרש יכול להגיע לאלפי שקלים.</t>
  </si>
  <si>
    <t>הסימולטור למטה מחשב את הפיצול המדויק לפי כל מדרגה שנחצתה, ומשווה לתוצאת המחשבון הפשוט.</t>
  </si>
  <si>
    <t>נתוני עזר לגרפים</t>
  </si>
  <si>
    <t>פיצול עמלה</t>
  </si>
  <si>
    <t>מנהל סניף</t>
  </si>
  <si>
    <t>מדרגות Split - אחוז מתווך</t>
  </si>
  <si>
    <t>0–100K</t>
  </si>
  <si>
    <t>100K–250K</t>
  </si>
  <si>
    <t>250K–500K</t>
  </si>
  <si>
    <t>מדרגה נוכחית (מספר 1-4)</t>
  </si>
  <si>
    <t>התקדמות ליעד</t>
  </si>
  <si>
    <t>יתרה ליעד</t>
  </si>
  <si>
    <t>הפרש סימולטור</t>
  </si>
  <si>
    <t>מסלול Split ↑</t>
  </si>
  <si>
    <t>מסלול Split ⬆</t>
  </si>
  <si>
    <t>מד התקדמות ליעד</t>
  </si>
  <si>
    <t>סטטוס</t>
  </si>
  <si>
    <t>התראת סימולטור</t>
  </si>
  <si>
    <t>💡 איך עובד ה-Split?</t>
  </si>
  <si>
    <t>ה-Split הוא הסכם שקובע כיצד מתחלקת העמלה הגולמית בין שלושה שחקנים: המתווך, הסוכנות והמנהל.</t>
  </si>
  <si>
    <t>האחוזים אינם קבועים — הם עולים ככל שהמתווך צובר יותר עמלות השנה. זהו תמריץ ישיר: ככל שתמכור יותר, תשמור יותר מכל עסקה.</t>
  </si>
  <si>
    <t>הטבלה הבאה ניתנת לעריכה — ניתן להתאים אותה להסכם הספציפי שלך עם הסוכנות.</t>
  </si>
  <si>
    <t>💡 איך לקרוא את התוצאות?</t>
  </si>
  <si>
    <t>העמלה הכוללת היא מה שהמתנה משלם לאחר שהעסקה נסגרת, לפני פיצול בין השחקנים. המע"מ מחויב ליפצל ינומא מעליה.</t>
  </si>
  <si>
    <t>הסכום שמתחת ה-Split הוא חלק המתווך בלבד — מה שנכנס לכיסו לפני מס. הצבר השנתי מתעדכן על בסיס סכום זה, ולא על העמלה הכוללת.</t>
  </si>
  <si>
    <t>טיפ: היעד השנתי נמדד גם הוא לפי חלק המתווך בלבד, לא לפי העמלה הכוללת שהלקוח שילם.</t>
  </si>
  <si>
    <t>💡 למה הפרדה פנסיונית?</t>
  </si>
  <si>
    <t>לצורך הפרשות פנסיה, ביטוח מנהלים וקרן השתלמות — המעסיק מפריש רק על הכנסה שנחשבת פנסיונית.</t>
  </si>
  <si>
    <t>עמלת הבסיס (הסכום שמתחת ה-Split) היא הכנסה קבועה ופנסיונית. בונוס מעל יעד — אינו פנסיוני, ולכן לא ילווה בבסיס ההפרשות.</t>
  </si>
  <si>
    <t>מומלץ: ודא עם הרואה החשבונאי שלך שהסךום הפנסיוני משקף נכון את עמלת הבסיס בלבד, ללא הבונוס.</t>
  </si>
  <si>
    <t>קטגוריה</t>
  </si>
  <si>
    <t>ערך</t>
  </si>
  <si>
    <t>✅ הושג</t>
  </si>
  <si>
    <t>⬜ נותר</t>
  </si>
  <si>
    <t>טבלת רגישות — הכנסה שנתית נטו למתווך</t>
  </si>
  <si>
    <t>הכנסה שנתית = חלק מתווך (לפי מדרגות Split) × מספר עסקאות</t>
  </si>
  <si>
    <t>אחוז עמלה נלקח מגיליון נדלן (תא E9) | מדרגות Split נלקחות מגיליון נדלן (D20:F23)</t>
  </si>
  <si>
    <t>מחיר עסקה ממוצע ←</t>
  </si>
  <si>
    <t>מספר עסקאות ↓</t>
  </si>
  <si>
    <t>💡 הערות:</t>
  </si>
  <si>
    <t>• הכנסה מחושבת לפי: מספר עסקאות × מחיר ממוצע × אחוז עמלה (מגיליון נדלן E9) × מספר צדדים (E10) × אחוז Split לפי מדרגה</t>
  </si>
  <si>
    <t>• מדרגת ה-Split נקבעת לפי הצבר השנתי (E11) + סך העמלות החדשות. שינוי הצבר בגיליון הראשי יעדכן אוטומטית.</t>
  </si>
  <si>
    <t>• המסגרת הכתומה מסמנת תרחיש קרוב לנתוני העסקה הנוכחית (2.5M × 20 עסקאות).</t>
  </si>
  <si>
    <t>ציר צבע: לבן = הכנסה נמוכה | כחול = בינוני | ירוק-טיל = הכנסה גבוהה</t>
  </si>
  <si>
    <t>השוואת תרחישים — אחוזי עמלה שונים</t>
  </si>
  <si>
    <t>מחשב את התוצאה לפי 3 אחוזי עמלה — שימושי למשא ומתן עם לקוחות</t>
  </si>
  <si>
    <t>פרטי העסקה (מגיליון נדלן)</t>
  </si>
  <si>
    <t>מחיר העסקה (עדכני מגיליון נדלן)</t>
  </si>
  <si>
    <t>צדדים משלמים (עדכני מגיליון נדלן)</t>
  </si>
  <si>
    <t>צבר שנתי (עדכני מגיליון נדלן)</t>
  </si>
  <si>
    <t>שורה / עמלה</t>
  </si>
  <si>
    <t>עמלה גולמית (לפני מעמ)</t>
  </si>
  <si>
    <t>מעמד 18%</t>
  </si>
  <si>
    <t>סה""כ כולל מעמ</t>
  </si>
  <si>
    <t>אחוז Split (לפי מדרגה)</t>
  </si>
  <si>
    <t>חלק מתווך (נטו)</t>
  </si>
  <si>
    <t>צבר שנתי חדש (אחרי עסקה)</t>
  </si>
  <si>
    <t>הפרש מתרחיש הנוכחי (2%)</t>
  </si>
  <si>
    <t>—</t>
  </si>
  <si>
    <t>💡 שורת ״הפרש מתרחיש הנוכחי (2%)״ מראה כמה ₪ יותר/פחות המתווך מרוויח ביחס לאחוז הנוכחי. ירוק = רווח, אדום = הפסד.</t>
  </si>
  <si>
    <t>🏠</t>
  </si>
  <si>
    <t>הכלי המקצועי של המתווך החכם</t>
  </si>
  <si>
    <t>📊</t>
  </si>
  <si>
    <t>מחשבון עמלות</t>
  </si>
  <si>
    <t>חישוב חלק מתווך, Split ופיצול עמלה</t>
  </si>
  <si>
    <t>📈</t>
  </si>
  <si>
    <t>טבלת רגישות</t>
  </si>
  <si>
    <t>כמה צריך למכור כדי להכפיל הכנסה?</t>
  </si>
  <si>
    <t>⚖️</t>
  </si>
  <si>
    <t>השוואת תרחישים</t>
  </si>
  <si>
    <t>1.5% מול 2% מול 2.5% — מה משתלם?</t>
  </si>
  <si>
    <t>❝  כל עסקה גדולה מתחילה בהחלטה קטנה —</t>
  </si>
  <si>
    <t>לדעת בדיוק כמה שווה הזמן שלך.  ❞</t>
  </si>
  <si>
    <t>⚡  בחר גיליון לעבודה</t>
  </si>
  <si>
    <t>צריכים שינוי במחשבון ? גירסה אישית ? לחצו כאן ליצירת קשר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</si>
</sst>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₪&quot;"/>
    <numFmt numFmtId="165" formatCode="0.0%"/>
    <numFmt numFmtId="166" formatCode="#,##0\ \₪"/>
    <numFmt numFmtId="167" formatCode="#,##0;\(#,##0\);\-"/>
  </numFmts>
  <fonts count="38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b/>
      <sz val="12"/>
      <color rgb="FFFFFFFF"/>
      <name val="Arial"/>
      <charset val="1"/>
    </font>
    <font>
      <b/>
      <sz val="11"/>
      <name val="Arial"/>
      <charset val="1"/>
    </font>
    <font>
      <b/>
      <sz val="11"/>
      <color rgb="FF0000FF"/>
      <name val="Arial"/>
      <charset val="1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b/>
      <sz val="12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C00000"/>
      <name val="Calibri"/>
      <family val="2"/>
      <charset val="1"/>
    </font>
    <font>
      <b/>
      <sz val="13"/>
      <color rgb="FF0F2A47"/>
      <name val="Calibri"/>
      <family val="2"/>
      <charset val="1"/>
    </font>
    <font>
      <b/>
      <sz val="11"/>
      <color rgb="FF1B7B7B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1B7B7B"/>
      <name val="Calibri"/>
      <family val="2"/>
      <charset val="1"/>
    </font>
    <font>
      <b/>
      <sz val="9"/>
      <color rgb="FF1B7B7B"/>
      <name val="Arial"/>
      <charset val="1"/>
    </font>
    <font>
      <b/>
      <sz val="10"/>
      <color rgb="FF0F2A47"/>
      <name val="Calibri"/>
      <family val="2"/>
      <charset val="1"/>
    </font>
    <font>
      <b/>
      <sz val="10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4"/>
      <color rgb="FF0F2A47"/>
      <name val="Calibri"/>
      <family val="2"/>
      <charset val="1"/>
    </font>
    <font>
      <sz val="9"/>
      <color rgb="FF5A7A8A"/>
      <name val="Calibri"/>
      <family val="2"/>
      <charset val="1"/>
    </font>
    <font>
      <i/>
      <sz val="9"/>
      <color rgb="FF5A7A8A"/>
      <name val="Calibri"/>
      <family val="2"/>
      <charset val="1"/>
    </font>
    <font>
      <sz val="10"/>
      <color rgb="FF0F2A47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FF6600"/>
      <name val="Calibri"/>
      <family val="2"/>
      <charset val="1"/>
    </font>
    <font>
      <i/>
      <sz val="9"/>
      <color rgb="FF1B7B7B"/>
      <name val="Calibri"/>
      <family val="2"/>
      <charset val="1"/>
    </font>
    <font>
      <sz val="10"/>
      <color rgb="FF0000F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888888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1B7B7B"/>
      <name val="Calibri"/>
      <family val="2"/>
      <charset val="1"/>
    </font>
    <font>
      <i/>
      <sz val="13"/>
      <color rgb="FF0F2A47"/>
      <name val="Calibri"/>
      <family val="2"/>
      <charset val="1"/>
    </font>
    <font>
      <sz val="28"/>
      <color theme="1"/>
      <name val="Calibri"/>
      <family val="2"/>
      <charset val="1"/>
    </font>
    <font>
      <sz val="32"/>
      <color theme="1"/>
      <name val="Calibri"/>
      <family val="2"/>
      <charset val="1"/>
    </font>
    <font>
      <b/>
      <sz val="22"/>
      <color rgb="FF0F2A47"/>
      <name val="Calibri"/>
      <family val="2"/>
      <charset val="1"/>
    </font>
    <font>
      <i/>
      <sz val="11"/>
      <color rgb="FF1B7B7B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0F2A47"/>
        <bgColor rgb="FF333333"/>
      </patternFill>
    </fill>
    <fill>
      <patternFill patternType="solid">
        <fgColor rgb="FF1B7B7B"/>
        <bgColor rgb="FF008080"/>
      </patternFill>
    </fill>
    <fill>
      <patternFill patternType="solid">
        <fgColor rgb="FFD6E4EC"/>
        <bgColor rgb="FFE2EFDA"/>
      </patternFill>
    </fill>
    <fill>
      <patternFill patternType="solid">
        <fgColor rgb="FFFFF2CC"/>
        <bgColor rgb="FFFCE4D6"/>
      </patternFill>
    </fill>
    <fill>
      <patternFill patternType="solid">
        <fgColor rgb="FFE2EFDA"/>
        <bgColor rgb="FFD6E4EC"/>
      </patternFill>
    </fill>
    <fill>
      <patternFill patternType="solid">
        <fgColor rgb="FFFCE4D6"/>
        <bgColor rgb="FFFFF2CC"/>
      </patternFill>
    </fill>
    <fill>
      <patternFill patternType="solid">
        <fgColor rgb="FF1B7B7B"/>
        <bgColor indexed="64"/>
      </patternFill>
    </fill>
    <fill>
      <patternFill patternType="solid">
        <fgColor rgb="FFD6E4E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F2A47"/>
        <bgColor indexed="64"/>
      </patternFill>
    </fill>
    <fill>
      <patternFill patternType="solid">
        <fgColor rgb="FF4AABAB"/>
        <bgColor indexed="64"/>
      </patternFill>
    </fill>
    <fill>
      <patternFill patternType="solid">
        <fgColor rgb="FFEEF4F8"/>
        <bgColor indexed="64"/>
      </patternFill>
    </fill>
  </fills>
  <borders count="23">
    <border>
      <left/>
      <right/>
      <top/>
      <bottom/>
      <diagonal/>
    </border>
    <border>
      <left style="thin">
        <color rgb="FF8FA9BC"/>
      </left>
      <right style="thin">
        <color rgb="FF8FA9BC"/>
      </right>
      <top style="thin">
        <color rgb="FF8FA9BC"/>
      </top>
      <bottom style="thin">
        <color rgb="FF8FA9BC"/>
      </bottom>
      <diagonal/>
    </border>
    <border>
      <left/>
      <right/>
      <top style="thin">
        <color rgb="FF8FA9BC"/>
      </top>
      <bottom/>
      <diagonal/>
    </border>
    <border>
      <left/>
      <right/>
      <top/>
      <bottom style="thin">
        <color rgb="FF8FA9BC"/>
      </bottom>
      <diagonal/>
    </border>
    <border>
      <left style="thin">
        <color rgb="FF8FA9BC"/>
      </left>
      <right/>
      <top style="thin">
        <color rgb="FF8FA9BC"/>
      </top>
      <bottom style="thin">
        <color rgb="FF8FA9BC"/>
      </bottom>
      <diagonal/>
    </border>
    <border>
      <left style="thin">
        <color rgb="FF8FA9BC"/>
      </left>
      <right/>
      <top style="thin">
        <color rgb="FF8FA9BC"/>
      </top>
      <bottom/>
      <diagonal/>
    </border>
    <border>
      <left style="thin">
        <color rgb="FF8FA9BC"/>
      </left>
      <right/>
      <top/>
      <bottom/>
      <diagonal/>
    </border>
    <border>
      <left style="thin">
        <color rgb="FF8FA9BC"/>
      </left>
      <right/>
      <top/>
      <bottom style="thin">
        <color rgb="FF8FA9BC"/>
      </bottom>
      <diagonal/>
    </border>
    <border>
      <left/>
      <right style="thin">
        <color rgb="FF8FA9BC"/>
      </right>
      <top style="thin">
        <color rgb="FF8FA9BC"/>
      </top>
      <bottom/>
      <diagonal/>
    </border>
    <border>
      <left/>
      <right style="thin">
        <color rgb="FF8FA9BC"/>
      </right>
      <top/>
      <bottom/>
      <diagonal/>
    </border>
    <border>
      <left/>
      <right style="thin">
        <color rgb="FF8FA9BC"/>
      </right>
      <top/>
      <bottom style="thin">
        <color rgb="FF8FA9BC"/>
      </bottom>
      <diagonal/>
    </border>
    <border>
      <left/>
      <right style="thin">
        <color rgb="FF8FA9BC"/>
      </right>
      <top style="thin">
        <color rgb="FF8FA9BC"/>
      </top>
      <bottom style="thin">
        <color rgb="FF8FA9B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ck">
        <color rgb="FFFF6600"/>
      </left>
      <right style="thick">
        <color rgb="FFFF6600"/>
      </right>
      <top style="thick">
        <color rgb="FFFF6600"/>
      </top>
      <bottom style="thick">
        <color rgb="FFFF6600"/>
      </bottom>
      <diagonal/>
    </border>
    <border>
      <left style="medium">
        <color rgb="FFAAAAAA"/>
      </left>
      <right style="medium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rgb="FF1B7B7B"/>
      </left>
      <right style="medium">
        <color rgb="FF1B7B7B"/>
      </right>
      <top/>
      <bottom/>
      <diagonal/>
    </border>
    <border>
      <left style="medium">
        <color rgb="FF1B7B7B"/>
      </left>
      <right style="medium">
        <color rgb="FF1B7B7B"/>
      </right>
      <top style="medium">
        <color rgb="FF1B7B7B"/>
      </top>
      <bottom/>
      <diagonal/>
    </border>
    <border>
      <left style="medium">
        <color rgb="FF1B7B7B"/>
      </left>
      <right style="medium">
        <color rgb="FF1B7B7B"/>
      </right>
      <top/>
      <bottom style="medium">
        <color rgb="FF1B7B7B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3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/>
    </xf>
    <xf numFmtId="0" fontId="10" fillId="9" borderId="1" xfId="0" applyFont="1" applyFill="1" applyBorder="1"/>
    <xf numFmtId="0" fontId="10" fillId="0" borderId="1" xfId="0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12" borderId="0" xfId="0" applyFill="1"/>
    <xf numFmtId="0" fontId="14" fillId="13" borderId="0" xfId="0" applyFont="1" applyFill="1"/>
    <xf numFmtId="3" fontId="0" fillId="0" borderId="0" xfId="0" applyNumberFormat="1"/>
    <xf numFmtId="9" fontId="0" fillId="0" borderId="0" xfId="0" applyNumberFormat="1"/>
    <xf numFmtId="165" fontId="0" fillId="0" borderId="0" xfId="0" applyNumberFormat="1"/>
    <xf numFmtId="0" fontId="15" fillId="0" borderId="0" xfId="0" applyFont="1" applyAlignment="1">
      <alignment horizontal="center"/>
    </xf>
    <xf numFmtId="0" fontId="0" fillId="11" borderId="0" xfId="0" applyFill="1"/>
    <xf numFmtId="0" fontId="16" fillId="4" borderId="6" xfId="0" applyFont="1" applyFill="1" applyBorder="1" applyAlignment="1">
      <alignment horizontal="center" vertical="center"/>
    </xf>
    <xf numFmtId="0" fontId="17" fillId="9" borderId="4" xfId="0" applyFont="1" applyFill="1" applyBorder="1"/>
    <xf numFmtId="165" fontId="10" fillId="9" borderId="11" xfId="0" applyNumberFormat="1" applyFont="1" applyFill="1" applyBorder="1"/>
    <xf numFmtId="0" fontId="18" fillId="0" borderId="4" xfId="0" applyFont="1" applyBorder="1"/>
    <xf numFmtId="0" fontId="10" fillId="0" borderId="11" xfId="0" applyFont="1" applyBorder="1"/>
    <xf numFmtId="0" fontId="17" fillId="9" borderId="1" xfId="0" applyFont="1" applyFill="1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7" fillId="0" borderId="0" xfId="0" applyFont="1"/>
    <xf numFmtId="0" fontId="17" fillId="9" borderId="0" xfId="0" applyFont="1" applyFill="1"/>
    <xf numFmtId="3" fontId="24" fillId="8" borderId="0" xfId="0" applyNumberFormat="1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3" fontId="25" fillId="0" borderId="14" xfId="0" applyNumberFormat="1" applyFont="1" applyBorder="1" applyAlignment="1">
      <alignment horizontal="center"/>
    </xf>
    <xf numFmtId="3" fontId="25" fillId="0" borderId="15" xfId="0" applyNumberFormat="1" applyFont="1" applyBorder="1" applyAlignment="1">
      <alignment horizontal="center"/>
    </xf>
    <xf numFmtId="3" fontId="25" fillId="0" borderId="13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16" xfId="0" applyNumberFormat="1" applyFont="1" applyBorder="1" applyAlignment="1">
      <alignment horizontal="center"/>
    </xf>
    <xf numFmtId="3" fontId="25" fillId="0" borderId="17" xfId="0" applyNumberFormat="1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4" fillId="13" borderId="0" xfId="0" applyFont="1" applyFill="1"/>
    <xf numFmtId="0" fontId="17" fillId="9" borderId="14" xfId="0" applyFont="1" applyFill="1" applyBorder="1" applyAlignment="1">
      <alignment horizontal="center"/>
    </xf>
    <xf numFmtId="0" fontId="23" fillId="0" borderId="14" xfId="0" applyFont="1" applyBorder="1"/>
    <xf numFmtId="0" fontId="17" fillId="9" borderId="14" xfId="0" applyFont="1" applyFill="1" applyBorder="1"/>
    <xf numFmtId="3" fontId="29" fillId="0" borderId="18" xfId="0" applyNumberFormat="1" applyFont="1" applyBorder="1" applyAlignment="1">
      <alignment horizontal="center"/>
    </xf>
    <xf numFmtId="9" fontId="29" fillId="0" borderId="18" xfId="0" applyNumberFormat="1" applyFont="1" applyBorder="1" applyAlignment="1">
      <alignment horizontal="center"/>
    </xf>
    <xf numFmtId="10" fontId="7" fillId="14" borderId="19" xfId="0" applyNumberFormat="1" applyFont="1" applyFill="1" applyBorder="1" applyAlignment="1">
      <alignment horizontal="center"/>
    </xf>
    <xf numFmtId="3" fontId="29" fillId="0" borderId="19" xfId="0" applyNumberFormat="1" applyFont="1" applyBorder="1" applyAlignment="1">
      <alignment horizontal="center"/>
    </xf>
    <xf numFmtId="9" fontId="29" fillId="0" borderId="19" xfId="0" applyNumberFormat="1" applyFont="1" applyBorder="1" applyAlignment="1">
      <alignment horizontal="center"/>
    </xf>
    <xf numFmtId="3" fontId="13" fillId="9" borderId="19" xfId="0" applyNumberFormat="1" applyFont="1" applyFill="1" applyBorder="1" applyAlignment="1">
      <alignment horizontal="center"/>
    </xf>
    <xf numFmtId="167" fontId="31" fillId="0" borderId="19" xfId="0" applyNumberFormat="1" applyFont="1" applyBorder="1" applyAlignment="1">
      <alignment horizontal="center"/>
    </xf>
    <xf numFmtId="10" fontId="7" fillId="8" borderId="19" xfId="0" applyNumberFormat="1" applyFont="1" applyFill="1" applyBorder="1" applyAlignment="1">
      <alignment horizontal="center"/>
    </xf>
    <xf numFmtId="3" fontId="14" fillId="8" borderId="19" xfId="0" applyNumberFormat="1" applyFont="1" applyFill="1" applyBorder="1" applyAlignment="1">
      <alignment horizontal="center"/>
    </xf>
    <xf numFmtId="0" fontId="30" fillId="0" borderId="19" xfId="0" applyFont="1" applyBorder="1" applyAlignment="1">
      <alignment horizontal="center"/>
    </xf>
    <xf numFmtId="10" fontId="7" fillId="13" borderId="18" xfId="0" applyNumberFormat="1" applyFont="1" applyFill="1" applyBorder="1" applyAlignment="1">
      <alignment horizontal="center"/>
    </xf>
    <xf numFmtId="3" fontId="14" fillId="13" borderId="18" xfId="0" applyNumberFormat="1" applyFont="1" applyFill="1" applyBorder="1" applyAlignment="1">
      <alignment horizontal="center"/>
    </xf>
    <xf numFmtId="3" fontId="28" fillId="11" borderId="0" xfId="0" applyNumberFormat="1" applyFont="1" applyFill="1" applyAlignment="1">
      <alignment horizontal="center"/>
    </xf>
    <xf numFmtId="1" fontId="28" fillId="11" borderId="0" xfId="0" applyNumberFormat="1" applyFont="1" applyFill="1" applyAlignment="1">
      <alignment horizontal="center"/>
    </xf>
    <xf numFmtId="167" fontId="32" fillId="0" borderId="18" xfId="0" applyNumberFormat="1" applyFont="1" applyBorder="1" applyAlignment="1">
      <alignment horizontal="center"/>
    </xf>
    <xf numFmtId="3" fontId="4" fillId="11" borderId="1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166" fontId="10" fillId="9" borderId="1" xfId="0" applyNumberFormat="1" applyFont="1" applyFill="1" applyBorder="1" applyAlignment="1">
      <alignment horizontal="center"/>
    </xf>
    <xf numFmtId="0" fontId="0" fillId="15" borderId="0" xfId="0" applyFill="1"/>
    <xf numFmtId="0" fontId="12" fillId="12" borderId="20" xfId="0" applyFont="1" applyFill="1" applyBorder="1" applyAlignment="1">
      <alignment horizontal="center"/>
    </xf>
    <xf numFmtId="0" fontId="34" fillId="12" borderId="21" xfId="0" applyFont="1" applyFill="1" applyBorder="1" applyAlignment="1">
      <alignment horizontal="center"/>
    </xf>
    <xf numFmtId="0" fontId="21" fillId="12" borderId="20" xfId="0" applyFont="1" applyFill="1" applyBorder="1" applyAlignment="1">
      <alignment horizontal="center" vertical="center" wrapText="1"/>
    </xf>
    <xf numFmtId="0" fontId="19" fillId="12" borderId="22" xfId="1" applyFill="1" applyBorder="1" applyAlignment="1">
      <alignment horizontal="center"/>
    </xf>
    <xf numFmtId="0" fontId="35" fillId="15" borderId="0" xfId="0" applyFont="1" applyFill="1" applyAlignment="1">
      <alignment horizontal="center" vertical="center"/>
    </xf>
    <xf numFmtId="0" fontId="36" fillId="15" borderId="0" xfId="0" applyFont="1" applyFill="1" applyAlignment="1">
      <alignment horizontal="center"/>
    </xf>
    <xf numFmtId="0" fontId="37" fillId="15" borderId="0" xfId="0" applyFont="1" applyFill="1" applyAlignment="1">
      <alignment horizontal="center"/>
    </xf>
    <xf numFmtId="0" fontId="33" fillId="9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right" vertical="center" indent="1"/>
    </xf>
    <xf numFmtId="0" fontId="4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11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0" fontId="4" fillId="11" borderId="1" xfId="0" applyNumberFormat="1" applyFont="1" applyFill="1" applyBorder="1" applyAlignment="1">
      <alignment horizontal="center" vertical="center"/>
    </xf>
    <xf numFmtId="10" fontId="4" fillId="5" borderId="1" xfId="0" applyNumberFormat="1" applyFont="1" applyFill="1" applyBorder="1" applyAlignment="1">
      <alignment horizontal="center" vertical="center"/>
    </xf>
    <xf numFmtId="1" fontId="4" fillId="11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right"/>
    </xf>
    <xf numFmtId="0" fontId="12" fillId="9" borderId="2" xfId="0" applyFont="1" applyFill="1" applyBorder="1" applyAlignment="1">
      <alignment horizontal="right"/>
    </xf>
    <xf numFmtId="0" fontId="12" fillId="9" borderId="8" xfId="0" applyFont="1" applyFill="1" applyBorder="1" applyAlignment="1">
      <alignment horizontal="right"/>
    </xf>
    <xf numFmtId="0" fontId="0" fillId="11" borderId="6" xfId="0" applyFill="1" applyBorder="1" applyAlignment="1">
      <alignment horizontal="right"/>
    </xf>
    <xf numFmtId="0" fontId="0" fillId="11" borderId="0" xfId="0" applyFill="1" applyAlignment="1">
      <alignment horizontal="right"/>
    </xf>
    <xf numFmtId="0" fontId="0" fillId="11" borderId="9" xfId="0" applyFill="1" applyBorder="1" applyAlignment="1">
      <alignment horizontal="right"/>
    </xf>
    <xf numFmtId="0" fontId="8" fillId="11" borderId="6" xfId="0" applyFont="1" applyFill="1" applyBorder="1" applyAlignment="1">
      <alignment horizontal="right"/>
    </xf>
    <xf numFmtId="0" fontId="8" fillId="11" borderId="0" xfId="0" applyFont="1" applyFill="1" applyAlignment="1">
      <alignment horizontal="right"/>
    </xf>
    <xf numFmtId="0" fontId="8" fillId="11" borderId="9" xfId="0" applyFont="1" applyFill="1" applyBorder="1" applyAlignment="1">
      <alignment horizontal="right"/>
    </xf>
    <xf numFmtId="0" fontId="13" fillId="11" borderId="7" xfId="0" applyFont="1" applyFill="1" applyBorder="1" applyAlignment="1">
      <alignment horizontal="right"/>
    </xf>
    <xf numFmtId="0" fontId="13" fillId="11" borderId="3" xfId="0" applyFont="1" applyFill="1" applyBorder="1" applyAlignment="1">
      <alignment horizontal="right"/>
    </xf>
    <xf numFmtId="0" fontId="13" fillId="11" borderId="10" xfId="0" applyFont="1" applyFill="1" applyBorder="1" applyAlignment="1">
      <alignment horizontal="right"/>
    </xf>
    <xf numFmtId="0" fontId="3" fillId="9" borderId="1" xfId="0" applyFont="1" applyFill="1" applyBorder="1" applyAlignment="1">
      <alignment horizontal="right" vertical="center" indent="1"/>
    </xf>
    <xf numFmtId="164" fontId="3" fillId="9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9" fontId="4" fillId="5" borderId="1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13" fillId="11" borderId="6" xfId="0" applyFont="1" applyFill="1" applyBorder="1" applyAlignment="1">
      <alignment horizontal="right"/>
    </xf>
    <xf numFmtId="0" fontId="13" fillId="11" borderId="0" xfId="0" applyFont="1" applyFill="1" applyAlignment="1">
      <alignment horizontal="right"/>
    </xf>
    <xf numFmtId="0" fontId="13" fillId="11" borderId="9" xfId="0" applyFont="1" applyFill="1" applyBorder="1" applyAlignment="1">
      <alignment horizontal="right"/>
    </xf>
    <xf numFmtId="0" fontId="8" fillId="11" borderId="7" xfId="0" applyFont="1" applyFill="1" applyBorder="1" applyAlignment="1">
      <alignment horizontal="right"/>
    </xf>
    <xf numFmtId="0" fontId="8" fillId="11" borderId="3" xfId="0" applyFont="1" applyFill="1" applyBorder="1" applyAlignment="1">
      <alignment horizontal="right"/>
    </xf>
    <xf numFmtId="0" fontId="8" fillId="11" borderId="10" xfId="0" applyFont="1" applyFill="1" applyBorder="1" applyAlignment="1">
      <alignment horizontal="right"/>
    </xf>
    <xf numFmtId="0" fontId="9" fillId="9" borderId="0" xfId="0" applyFont="1" applyFill="1" applyAlignment="1">
      <alignment horizontal="right"/>
    </xf>
    <xf numFmtId="0" fontId="9" fillId="9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166" fontId="10" fillId="9" borderId="1" xfId="0" applyNumberFormat="1" applyFont="1" applyFill="1" applyBorder="1" applyAlignment="1">
      <alignment horizontal="center"/>
    </xf>
    <xf numFmtId="166" fontId="10" fillId="10" borderId="1" xfId="0" applyNumberFormat="1" applyFont="1" applyFill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9" borderId="1" xfId="0" applyFont="1" applyFill="1" applyBorder="1"/>
    <xf numFmtId="0" fontId="0" fillId="0" borderId="1" xfId="0" applyBorder="1"/>
    <xf numFmtId="0" fontId="10" fillId="10" borderId="1" xfId="0" applyFont="1" applyFill="1" applyBorder="1"/>
    <xf numFmtId="165" fontId="3" fillId="9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9" fontId="3" fillId="9" borderId="1" xfId="0" applyNumberFormat="1" applyFont="1" applyFill="1" applyBorder="1" applyAlignment="1">
      <alignment horizontal="center" vertical="center"/>
    </xf>
    <xf numFmtId="9" fontId="3" fillId="7" borderId="1" xfId="0" applyNumberFormat="1" applyFont="1" applyFill="1" applyBorder="1" applyAlignment="1">
      <alignment horizontal="center" vertical="center"/>
    </xf>
    <xf numFmtId="0" fontId="22" fillId="0" borderId="0" xfId="0" applyFont="1"/>
    <xf numFmtId="0" fontId="0" fillId="0" borderId="0" xfId="0"/>
    <xf numFmtId="0" fontId="19" fillId="15" borderId="0" xfId="1" applyFill="1" applyAlignment="1">
      <alignment horizontal="center"/>
    </xf>
  </cellXfs>
  <cellStyles count="2">
    <cellStyle name="Normal" xfId="0" builtinId="0"/>
    <cellStyle name="היפר-קישור" xfId="1" builtinId="8"/>
  </cellStyles>
  <dxfs count="6">
    <dxf>
      <font>
        <color rgb="FFC00000"/>
      </font>
    </dxf>
    <dxf>
      <font>
        <color rgb="FFD08000"/>
      </font>
    </dxf>
    <dxf>
      <font>
        <color rgb="FF1B7B7B"/>
      </font>
    </dxf>
    <dxf>
      <font>
        <color rgb="FFC00000"/>
      </font>
    </dxf>
    <dxf>
      <font>
        <color rgb="FFD08000"/>
      </font>
    </dxf>
    <dxf>
      <font>
        <color rgb="FF1B7B7B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B7B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E4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8FA9BC"/>
      <rgbColor rgb="FF0F2A47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פיצול עמלה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B7B7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77-4666-BAFD-2220AC81B801}"/>
              </c:ext>
            </c:extLst>
          </c:dPt>
          <c:dPt>
            <c:idx val="1"/>
            <c:bubble3D val="0"/>
            <c:spPr>
              <a:solidFill>
                <a:srgbClr val="4AABA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477-4666-BAFD-2220AC81B801}"/>
              </c:ext>
            </c:extLst>
          </c:dPt>
          <c:dPt>
            <c:idx val="2"/>
            <c:bubble3D val="0"/>
            <c:spPr>
              <a:solidFill>
                <a:srgbClr val="D6E4E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7-4666-BAFD-2220AC81B8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נדלן!$P$3:$P$5</c:f>
              <c:strCache>
                <c:ptCount val="3"/>
                <c:pt idx="0">
                  <c:v>מתווך</c:v>
                </c:pt>
                <c:pt idx="1">
                  <c:v>סוכנות</c:v>
                </c:pt>
                <c:pt idx="2">
                  <c:v>מנהל סניף</c:v>
                </c:pt>
              </c:strCache>
            </c:strRef>
          </c:cat>
          <c:val>
            <c:numRef>
              <c:f>נדלן!$Q$3:$Q$5</c:f>
              <c:numCache>
                <c:formatCode>#,##0</c:formatCode>
                <c:ptCount val="3"/>
                <c:pt idx="0">
                  <c:v>60000</c:v>
                </c:pt>
                <c:pt idx="1">
                  <c:v>32000</c:v>
                </c:pt>
                <c:pt idx="2">
                  <c:v>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17-494A-9C77-DA4919814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אחוז </a:t>
            </a:r>
            <a:r>
              <a:rPr lang="en-US"/>
              <a:t>Split </a:t>
            </a:r>
            <a:r>
              <a:rPr lang="he-IL"/>
              <a:t>לפי מדרגה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1B7B7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נדלן!$P$8:$P$11</c:f>
              <c:strCache>
                <c:ptCount val="4"/>
                <c:pt idx="0">
                  <c:v>0–100K</c:v>
                </c:pt>
                <c:pt idx="1">
                  <c:v>100K–250K</c:v>
                </c:pt>
                <c:pt idx="2">
                  <c:v>250K–500K</c:v>
                </c:pt>
                <c:pt idx="3">
                  <c:v>500K+</c:v>
                </c:pt>
              </c:strCache>
            </c:strRef>
          </c:cat>
          <c:val>
            <c:numRef>
              <c:f>נדלן!$Q$8:$Q$11</c:f>
              <c:numCache>
                <c:formatCode>0%</c:formatCode>
                <c:ptCount val="4"/>
                <c:pt idx="0">
                  <c:v>0.5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5-4CCF-80EB-CB3C51C9C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6451280"/>
        <c:axId val="156456560"/>
      </c:barChart>
      <c:catAx>
        <c:axId val="1564512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56456560"/>
        <c:crosses val="autoZero"/>
        <c:auto val="1"/>
        <c:lblAlgn val="ctr"/>
        <c:lblOffset val="100"/>
        <c:noMultiLvlLbl val="0"/>
      </c:catAx>
      <c:valAx>
        <c:axId val="156456560"/>
        <c:scaling>
          <c:orientation val="maxMin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56451280"/>
        <c:crosses val="autoZero"/>
        <c:crossBetween val="between"/>
      </c:valAx>
      <c:spPr>
        <a:solidFill>
          <a:srgbClr val="F8FBFC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F2A47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התקדמות ליעד השנתי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F2A47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1B7B7B"/>
            </a:solidFill>
            <a:ln>
              <a:solidFill>
                <a:srgbClr val="1B7B7B"/>
              </a:solidFill>
              <a:prstDash val="solid"/>
            </a:ln>
          </c:spPr>
          <c:dPt>
            <c:idx val="0"/>
            <c:bubble3D val="0"/>
            <c:spPr>
              <a:solidFill>
                <a:srgbClr val="1B7B7B"/>
              </a:solidFill>
              <a:ln>
                <a:solidFill>
                  <a:srgbClr val="1B7B7B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D-48B2-B110-BE004D9FBE06}"/>
              </c:ext>
            </c:extLst>
          </c:dPt>
          <c:dPt>
            <c:idx val="1"/>
            <c:bubble3D val="0"/>
            <c:spPr>
              <a:solidFill>
                <a:srgbClr val="D6E4EC"/>
              </a:solidFill>
              <a:ln>
                <a:solidFill>
                  <a:srgbClr val="1B7B7B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ED-48B2-B110-BE004D9FBE0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F2A47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נדלן!$P$37:$P$38</c:f>
              <c:strCache>
                <c:ptCount val="2"/>
                <c:pt idx="0">
                  <c:v>✅ הושג</c:v>
                </c:pt>
                <c:pt idx="1">
                  <c:v>⬜ נותר</c:v>
                </c:pt>
              </c:strCache>
            </c:strRef>
          </c:cat>
          <c:val>
            <c:numRef>
              <c:f>נדלן!$Q$37:$Q$38</c:f>
              <c:numCache>
                <c:formatCode>0.0%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D-4215-BB8B-2DB275641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solidFill>
          <a:srgbClr val="F2F7FB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0F2A47"/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2F7FB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.kova.co.il/contac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13</xdr:col>
      <xdr:colOff>390525</xdr:colOff>
      <xdr:row>51</xdr:row>
      <xdr:rowOff>123825</xdr:rowOff>
    </xdr:to>
    <xdr:pic>
      <xdr:nvPicPr>
        <xdr:cNvPr id="2" name="תמונה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436A1-BE71-41EA-8251-3C158FFB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371075" y="19050"/>
          <a:ext cx="8315325" cy="9431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120650</xdr:colOff>
      <xdr:row>3</xdr:row>
      <xdr:rowOff>152400</xdr:rowOff>
    </xdr:from>
    <xdr:to>
      <xdr:col>10</xdr:col>
      <xdr:colOff>374650</xdr:colOff>
      <xdr:row>21</xdr:row>
      <xdr:rowOff>107950</xdr:rowOff>
    </xdr:to>
    <xdr:graphicFrame macro="">
      <xdr:nvGraphicFramePr>
        <xdr:cNvPr id="4" name="PieCommission">
          <a:extLst>
            <a:ext uri="{FF2B5EF4-FFF2-40B4-BE49-F238E27FC236}">
              <a16:creationId xmlns:a16="http://schemas.microsoft.com/office/drawing/2014/main" id="{98889A84-04F5-9B10-E0AB-ACC36B660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22</xdr:row>
      <xdr:rowOff>25400</xdr:rowOff>
    </xdr:from>
    <xdr:to>
      <xdr:col>10</xdr:col>
      <xdr:colOff>374650</xdr:colOff>
      <xdr:row>39</xdr:row>
      <xdr:rowOff>3175</xdr:rowOff>
    </xdr:to>
    <xdr:graphicFrame macro="">
      <xdr:nvGraphicFramePr>
        <xdr:cNvPr id="5" name="SplitBrackets">
          <a:extLst>
            <a:ext uri="{FF2B5EF4-FFF2-40B4-BE49-F238E27FC236}">
              <a16:creationId xmlns:a16="http://schemas.microsoft.com/office/drawing/2014/main" id="{71C3DBF7-4E8D-4EF7-9E74-0EAA5A8311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130175</xdr:colOff>
      <xdr:row>39</xdr:row>
      <xdr:rowOff>168275</xdr:rowOff>
    </xdr:from>
    <xdr:to>
      <xdr:col>10</xdr:col>
      <xdr:colOff>384175</xdr:colOff>
      <xdr:row>52</xdr:row>
      <xdr:rowOff>76200</xdr:rowOff>
    </xdr:to>
    <xdr:graphicFrame macro="">
      <xdr:nvGraphicFramePr>
        <xdr:cNvPr id="6" name="SparkSplit">
          <a:extLst>
            <a:ext uri="{FF2B5EF4-FFF2-40B4-BE49-F238E27FC236}">
              <a16:creationId xmlns:a16="http://schemas.microsoft.com/office/drawing/2014/main" id="{E74A19E9-FFFB-7248-3914-A0F51C16AF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165100</xdr:colOff>
      <xdr:row>41</xdr:row>
      <xdr:rowOff>60325</xdr:rowOff>
    </xdr:from>
    <xdr:to>
      <xdr:col>10</xdr:col>
      <xdr:colOff>292100</xdr:colOff>
      <xdr:row>42</xdr:row>
      <xdr:rowOff>73025</xdr:rowOff>
    </xdr:to>
    <xdr:sp macro="" textlink="">
      <xdr:nvSpPr>
        <xdr:cNvPr id="2" name="SparkSubtitle">
          <a:extLst>
            <a:ext uri="{FF2B5EF4-FFF2-40B4-BE49-F238E27FC236}">
              <a16:creationId xmlns:a16="http://schemas.microsoft.com/office/drawing/2014/main" id="{F3F1DFC2-9D39-5BA2-1BB5-220B3B1AEC8C}"/>
            </a:ext>
          </a:extLst>
        </xdr:cNvPr>
        <xdr:cNvSpPr txBox="1"/>
      </xdr:nvSpPr>
      <xdr:spPr>
        <a:xfrm>
          <a:off x="9513411250" y="8775700"/>
          <a:ext cx="3175000" cy="203200"/>
        </a:xfrm>
        <a:prstGeom prst="rect">
          <a:avLst/>
        </a:prstGeom>
        <a:solidFill>
          <a:prstClr val="white">
            <a:alpha val="0"/>
          </a:prstClr>
        </a:solidFill>
        <a:ln>
          <a:noFill/>
        </a:ln>
      </xdr:spPr>
      <xdr:txBody>
        <a:bodyPr vertOverflow="overflow" vert="horz" wrap="square" rtlCol="1" anchor="t">
          <a:spAutoFit/>
        </a:bodyPr>
        <a:lstStyle/>
        <a:p>
          <a:pPr algn="ctr" rtl="1"/>
          <a:r>
            <a:rPr kumimoji="0" lang="he-IL" sz="800" b="0" i="1" u="none" strike="noStrike" kern="0" cap="none" spc="0" normalizeH="0" baseline="0" noProof="0">
              <a:ln>
                <a:noFill/>
              </a:ln>
              <a:solidFill>
                <a:srgbClr val="5A7A8A"/>
              </a:solidFill>
              <a:effectLst/>
              <a:uLnTx/>
              <a:uFillTx/>
              <a:latin typeface="Calibri"/>
            </a:rPr>
            <a:t>📊 מתוך יעד שנתי של ₪600,000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AD99EC7-D6E8-43EA-9A84-19EB016DE9BF}">
  <we:reference id="wa200009404" version="1.0.0.8" store="he-IL" storeType="OMEX"/>
  <we:alternateReferences>
    <we:reference id="WA200009404" version="1.0.0.8" store="" storeType="OMEX"/>
  </we:alternateReferences>
  <we:properties>
    <we:property name="claude.fileId" value="&quot;207563da-c06d-4dfa-aa98-dcc3aaf85d8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contac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19E9-01E4-4361-950A-A0C11920705F}">
  <dimension ref="A1"/>
  <sheetViews>
    <sheetView rightToLeft="1" tabSelected="1" workbookViewId="0">
      <selection activeCell="J56" sqref="J5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FBF0-787B-4D9F-AA58-333AF6345793}">
  <dimension ref="A1:M30"/>
  <sheetViews>
    <sheetView showGridLines="0" rightToLeft="1" topLeftCell="A7" workbookViewId="0">
      <selection activeCell="E21" sqref="E21"/>
    </sheetView>
  </sheetViews>
  <sheetFormatPr defaultRowHeight="14.4" x14ac:dyDescent="0.3"/>
  <cols>
    <col min="2" max="2" width="1.88671875" customWidth="1"/>
    <col min="3" max="3" width="32.44140625" customWidth="1"/>
    <col min="4" max="4" width="3" customWidth="1"/>
    <col min="5" max="5" width="32.44140625" customWidth="1"/>
    <col min="6" max="6" width="3" customWidth="1"/>
    <col min="7" max="7" width="32.44140625" customWidth="1"/>
    <col min="8" max="8" width="1.88671875" customWidth="1"/>
  </cols>
  <sheetData>
    <row r="1" spans="1:13" x14ac:dyDescent="0.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50.1" customHeight="1" x14ac:dyDescent="0.3">
      <c r="A2" s="59"/>
      <c r="B2" s="64" t="s">
        <v>109</v>
      </c>
      <c r="C2" s="64"/>
      <c r="D2" s="64"/>
      <c r="E2" s="64"/>
      <c r="F2" s="64"/>
      <c r="G2" s="64"/>
      <c r="H2" s="64"/>
      <c r="I2" s="59"/>
      <c r="J2" s="59"/>
      <c r="K2" s="59"/>
      <c r="L2" s="59"/>
      <c r="M2" s="59"/>
    </row>
    <row r="3" spans="1:13" ht="39.9" customHeight="1" x14ac:dyDescent="0.55000000000000004">
      <c r="A3" s="59"/>
      <c r="B3" s="65" t="s">
        <v>0</v>
      </c>
      <c r="C3" s="65"/>
      <c r="D3" s="65"/>
      <c r="E3" s="65"/>
      <c r="F3" s="65"/>
      <c r="G3" s="65"/>
      <c r="H3" s="65"/>
      <c r="I3" s="59"/>
      <c r="J3" s="59"/>
      <c r="K3" s="59"/>
      <c r="L3" s="59"/>
      <c r="M3" s="59"/>
    </row>
    <row r="4" spans="1:13" ht="24" customHeight="1" x14ac:dyDescent="0.3">
      <c r="A4" s="59"/>
      <c r="B4" s="66" t="s">
        <v>110</v>
      </c>
      <c r="C4" s="66"/>
      <c r="D4" s="66"/>
      <c r="E4" s="66"/>
      <c r="F4" s="66"/>
      <c r="G4" s="66"/>
      <c r="H4" s="66"/>
      <c r="I4" s="59"/>
      <c r="J4" s="59"/>
      <c r="K4" s="59"/>
      <c r="L4" s="59"/>
      <c r="M4" s="59"/>
    </row>
    <row r="5" spans="1:13" ht="15.9" customHeight="1" x14ac:dyDescent="0.3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32.1" customHeight="1" x14ac:dyDescent="0.3">
      <c r="A6" s="59"/>
      <c r="B6" s="67" t="s">
        <v>120</v>
      </c>
      <c r="C6" s="67"/>
      <c r="D6" s="67"/>
      <c r="E6" s="67"/>
      <c r="F6" s="67"/>
      <c r="G6" s="67"/>
      <c r="H6" s="67"/>
      <c r="I6" s="59"/>
      <c r="J6" s="59"/>
      <c r="K6" s="59"/>
      <c r="L6" s="59"/>
      <c r="M6" s="59"/>
    </row>
    <row r="7" spans="1:13" ht="32.1" customHeight="1" x14ac:dyDescent="0.3">
      <c r="A7" s="59"/>
      <c r="B7" s="67" t="s">
        <v>121</v>
      </c>
      <c r="C7" s="67"/>
      <c r="D7" s="67"/>
      <c r="E7" s="67"/>
      <c r="F7" s="67"/>
      <c r="G7" s="67"/>
      <c r="H7" s="67"/>
      <c r="I7" s="59"/>
      <c r="J7" s="59"/>
      <c r="K7" s="59"/>
      <c r="L7" s="59"/>
      <c r="M7" s="59"/>
    </row>
    <row r="8" spans="1:13" ht="15.9" customHeight="1" x14ac:dyDescent="0.3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 ht="27.9" customHeight="1" x14ac:dyDescent="0.3">
      <c r="A9" s="59"/>
      <c r="B9" s="68" t="s">
        <v>122</v>
      </c>
      <c r="C9" s="68"/>
      <c r="D9" s="68"/>
      <c r="E9" s="68"/>
      <c r="F9" s="68"/>
      <c r="G9" s="68"/>
      <c r="H9" s="68"/>
      <c r="I9" s="59"/>
      <c r="J9" s="59"/>
      <c r="K9" s="59"/>
      <c r="L9" s="59"/>
      <c r="M9" s="59"/>
    </row>
    <row r="10" spans="1:13" ht="9.9" customHeight="1" thickBot="1" x14ac:dyDescent="0.3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13" ht="51.9" customHeight="1" x14ac:dyDescent="0.7">
      <c r="A11" s="59"/>
      <c r="B11" s="59"/>
      <c r="C11" s="61" t="s">
        <v>111</v>
      </c>
      <c r="D11" s="59"/>
      <c r="E11" s="61" t="s">
        <v>114</v>
      </c>
      <c r="F11" s="59"/>
      <c r="G11" s="61" t="s">
        <v>117</v>
      </c>
      <c r="H11" s="59"/>
      <c r="I11" s="59"/>
      <c r="J11" s="59"/>
      <c r="K11" s="59"/>
      <c r="L11" s="59"/>
      <c r="M11" s="59"/>
    </row>
    <row r="12" spans="1:13" ht="27.9" customHeight="1" x14ac:dyDescent="0.35">
      <c r="A12" s="59"/>
      <c r="B12" s="59"/>
      <c r="C12" s="60" t="s">
        <v>112</v>
      </c>
      <c r="D12" s="59"/>
      <c r="E12" s="60" t="s">
        <v>115</v>
      </c>
      <c r="F12" s="59"/>
      <c r="G12" s="60" t="s">
        <v>118</v>
      </c>
      <c r="H12" s="59"/>
      <c r="I12" s="59"/>
      <c r="J12" s="59"/>
      <c r="K12" s="59"/>
      <c r="L12" s="59"/>
      <c r="M12" s="59"/>
    </row>
    <row r="13" spans="1:13" ht="36" customHeight="1" x14ac:dyDescent="0.3">
      <c r="A13" s="59"/>
      <c r="B13" s="59"/>
      <c r="C13" s="62" t="s">
        <v>113</v>
      </c>
      <c r="D13" s="59"/>
      <c r="E13" s="62" t="s">
        <v>116</v>
      </c>
      <c r="F13" s="59"/>
      <c r="G13" s="62" t="s">
        <v>119</v>
      </c>
      <c r="H13" s="59"/>
      <c r="I13" s="59"/>
      <c r="J13" s="59"/>
      <c r="K13" s="59"/>
      <c r="L13" s="59"/>
      <c r="M13" s="59"/>
    </row>
    <row r="14" spans="1:13" ht="30" customHeight="1" thickBot="1" x14ac:dyDescent="0.35">
      <c r="A14" s="59"/>
      <c r="B14" s="59"/>
      <c r="C14" s="63" t="str">
        <f>HYPERLINK("#'נדלן'!A1","→ פתח את המחשבון")</f>
        <v>→ פתח את המחשבון</v>
      </c>
      <c r="D14" s="59"/>
      <c r="E14" s="63" t="str">
        <f>HYPERLINK("#'טבלת רגישות'!A1","→ פתח את הטבלה")</f>
        <v>→ פתח את הטבלה</v>
      </c>
      <c r="F14" s="59"/>
      <c r="G14" s="63" t="str">
        <f>HYPERLINK("#'השוואת תרחישים'!A1","→ פתח את ההשוואה")</f>
        <v>→ פתח את ההשוואה</v>
      </c>
      <c r="H14" s="59"/>
      <c r="I14" s="59"/>
      <c r="J14" s="59"/>
      <c r="K14" s="59"/>
      <c r="L14" s="59"/>
      <c r="M14" s="59"/>
    </row>
    <row r="15" spans="1:13" ht="20.100000000000001" customHeight="1" x14ac:dyDescent="0.3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13" x14ac:dyDescent="0.3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x14ac:dyDescent="0.3">
      <c r="A17" s="59"/>
      <c r="B17" s="59"/>
      <c r="C17" s="122" t="s">
        <v>123</v>
      </c>
      <c r="D17" s="122"/>
      <c r="E17" s="122"/>
      <c r="F17" s="122"/>
      <c r="G17" s="122"/>
      <c r="H17" s="59"/>
      <c r="I17" s="59"/>
      <c r="J17" s="59"/>
      <c r="K17" s="59"/>
      <c r="L17" s="59"/>
      <c r="M17" s="59"/>
    </row>
    <row r="18" spans="1:13" x14ac:dyDescent="0.3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3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3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3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3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3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3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3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3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3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3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3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3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</sheetData>
  <mergeCells count="7">
    <mergeCell ref="B9:H9"/>
    <mergeCell ref="C17:G17"/>
    <mergeCell ref="B2:H2"/>
    <mergeCell ref="B3:H3"/>
    <mergeCell ref="B4:H4"/>
    <mergeCell ref="B6:H6"/>
    <mergeCell ref="B7:H7"/>
  </mergeCells>
  <hyperlinks>
    <hyperlink ref="C17" r:id="rId1" xr:uid="{5F0C072A-D821-4BE4-9FC4-FC986770595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9"/>
  <sheetViews>
    <sheetView showGridLines="0" rightToLeft="1" zoomScaleNormal="100" workbookViewId="0"/>
  </sheetViews>
  <sheetFormatPr defaultColWidth="8.6640625" defaultRowHeight="14.4" x14ac:dyDescent="0.3"/>
  <cols>
    <col min="1" max="1" width="2" customWidth="1"/>
    <col min="2" max="7" width="15" customWidth="1"/>
    <col min="8" max="8" width="2" customWidth="1"/>
    <col min="9" max="9" width="19" customWidth="1"/>
    <col min="10" max="10" width="26.6640625" customWidth="1"/>
  </cols>
  <sheetData>
    <row r="1" spans="2:17" x14ac:dyDescent="0.3">
      <c r="P1" s="8" t="s">
        <v>51</v>
      </c>
    </row>
    <row r="2" spans="2:17" ht="24.75" customHeight="1" x14ac:dyDescent="0.3">
      <c r="B2" s="69" t="s">
        <v>0</v>
      </c>
      <c r="C2" s="69"/>
      <c r="D2" s="69"/>
      <c r="E2" s="69"/>
      <c r="F2" s="69"/>
      <c r="G2" s="69"/>
      <c r="P2" t="s">
        <v>52</v>
      </c>
    </row>
    <row r="3" spans="2:17" ht="24.75" customHeight="1" x14ac:dyDescent="0.3">
      <c r="B3" s="69"/>
      <c r="C3" s="69"/>
      <c r="D3" s="69"/>
      <c r="E3" s="69"/>
      <c r="F3" s="69"/>
      <c r="G3" s="69"/>
      <c r="P3" t="s">
        <v>14</v>
      </c>
      <c r="Q3" s="9">
        <f>E35</f>
        <v>60000</v>
      </c>
    </row>
    <row r="4" spans="2:17" x14ac:dyDescent="0.3">
      <c r="P4" t="s">
        <v>15</v>
      </c>
      <c r="Q4" s="9">
        <f>E36</f>
        <v>32000</v>
      </c>
    </row>
    <row r="5" spans="2:17" ht="21.75" customHeight="1" x14ac:dyDescent="0.3">
      <c r="B5" s="70" t="s">
        <v>1</v>
      </c>
      <c r="C5" s="70"/>
      <c r="D5" s="70"/>
      <c r="E5" s="70"/>
      <c r="F5" s="70"/>
      <c r="G5" s="70"/>
      <c r="P5" t="s">
        <v>53</v>
      </c>
      <c r="Q5" s="9">
        <f>E37</f>
        <v>8000</v>
      </c>
    </row>
    <row r="6" spans="2:17" x14ac:dyDescent="0.3">
      <c r="B6" s="71" t="s">
        <v>2</v>
      </c>
      <c r="C6" s="71"/>
      <c r="D6" s="71"/>
      <c r="E6" s="72" t="s">
        <v>3</v>
      </c>
      <c r="F6" s="72"/>
      <c r="G6" s="73"/>
    </row>
    <row r="7" spans="2:17" x14ac:dyDescent="0.3">
      <c r="B7" s="71" t="s">
        <v>4</v>
      </c>
      <c r="C7" s="71"/>
      <c r="D7" s="71"/>
      <c r="E7" s="72" t="s">
        <v>5</v>
      </c>
      <c r="F7" s="72"/>
      <c r="G7" s="73"/>
      <c r="P7" t="s">
        <v>54</v>
      </c>
    </row>
    <row r="8" spans="2:17" x14ac:dyDescent="0.3">
      <c r="B8" s="71" t="s">
        <v>6</v>
      </c>
      <c r="C8" s="71"/>
      <c r="D8" s="71"/>
      <c r="E8" s="74">
        <v>2500000</v>
      </c>
      <c r="F8" s="74"/>
      <c r="G8" s="75"/>
      <c r="P8" t="s">
        <v>55</v>
      </c>
      <c r="Q8" s="10">
        <f>D20</f>
        <v>0.5</v>
      </c>
    </row>
    <row r="9" spans="2:17" x14ac:dyDescent="0.3">
      <c r="B9" s="71" t="s">
        <v>7</v>
      </c>
      <c r="C9" s="71"/>
      <c r="D9" s="71"/>
      <c r="E9" s="76">
        <v>0.02</v>
      </c>
      <c r="F9" s="76"/>
      <c r="G9" s="77"/>
      <c r="P9" t="s">
        <v>56</v>
      </c>
      <c r="Q9" s="10">
        <f>D21</f>
        <v>0.6</v>
      </c>
    </row>
    <row r="10" spans="2:17" x14ac:dyDescent="0.3">
      <c r="B10" s="71" t="s">
        <v>8</v>
      </c>
      <c r="C10" s="71"/>
      <c r="D10" s="71"/>
      <c r="E10" s="78">
        <v>2</v>
      </c>
      <c r="F10" s="78"/>
      <c r="G10" s="79"/>
      <c r="P10" t="s">
        <v>57</v>
      </c>
      <c r="Q10" s="10">
        <f>D22</f>
        <v>0.7</v>
      </c>
    </row>
    <row r="11" spans="2:17" x14ac:dyDescent="0.3">
      <c r="B11" s="71" t="s">
        <v>9</v>
      </c>
      <c r="C11" s="71"/>
      <c r="D11" s="71"/>
      <c r="E11" s="74">
        <v>180000</v>
      </c>
      <c r="F11" s="74"/>
      <c r="G11" s="75"/>
      <c r="P11" t="s">
        <v>40</v>
      </c>
      <c r="Q11" s="10">
        <f>D23</f>
        <v>0.8</v>
      </c>
    </row>
    <row r="12" spans="2:17" x14ac:dyDescent="0.3">
      <c r="B12" s="71" t="s">
        <v>10</v>
      </c>
      <c r="C12" s="71"/>
      <c r="D12" s="71"/>
      <c r="E12" s="74">
        <v>600000</v>
      </c>
      <c r="F12" s="74"/>
      <c r="G12" s="75"/>
    </row>
    <row r="13" spans="2:17" x14ac:dyDescent="0.3">
      <c r="P13" t="s">
        <v>58</v>
      </c>
      <c r="Q13" s="10">
        <f>MATCH(E34,D20:D23,0)</f>
        <v>2</v>
      </c>
    </row>
    <row r="14" spans="2:17" ht="21.9" customHeight="1" x14ac:dyDescent="0.35">
      <c r="B14" s="80" t="s">
        <v>67</v>
      </c>
      <c r="C14" s="81"/>
      <c r="D14" s="81"/>
      <c r="E14" s="81"/>
      <c r="F14" s="81"/>
      <c r="G14" s="82"/>
      <c r="Q14" s="10"/>
    </row>
    <row r="15" spans="2:17" ht="18" customHeight="1" x14ac:dyDescent="0.3">
      <c r="B15" s="83" t="s">
        <v>68</v>
      </c>
      <c r="C15" s="84"/>
      <c r="D15" s="84"/>
      <c r="E15" s="84"/>
      <c r="F15" s="84"/>
      <c r="G15" s="85"/>
      <c r="Q15" s="10"/>
    </row>
    <row r="16" spans="2:17" ht="18" customHeight="1" x14ac:dyDescent="0.3">
      <c r="B16" s="86" t="s">
        <v>69</v>
      </c>
      <c r="C16" s="87"/>
      <c r="D16" s="87"/>
      <c r="E16" s="87"/>
      <c r="F16" s="87"/>
      <c r="G16" s="88"/>
      <c r="Q16" s="10"/>
    </row>
    <row r="17" spans="2:19" ht="18" customHeight="1" x14ac:dyDescent="0.3">
      <c r="B17" s="89" t="s">
        <v>70</v>
      </c>
      <c r="C17" s="90"/>
      <c r="D17" s="90"/>
      <c r="E17" s="90"/>
      <c r="F17" s="90"/>
      <c r="G17" s="91"/>
      <c r="Q17" s="10"/>
    </row>
    <row r="18" spans="2:19" ht="21.75" customHeight="1" x14ac:dyDescent="0.3">
      <c r="B18" s="70" t="s">
        <v>11</v>
      </c>
      <c r="C18" s="70"/>
      <c r="D18" s="70"/>
      <c r="E18" s="70"/>
      <c r="F18" s="70"/>
      <c r="G18" s="70"/>
    </row>
    <row r="19" spans="2:19" x14ac:dyDescent="0.3">
      <c r="B19" s="1" t="s">
        <v>12</v>
      </c>
      <c r="C19" s="1" t="s">
        <v>13</v>
      </c>
      <c r="D19" s="1" t="s">
        <v>14</v>
      </c>
      <c r="E19" s="1" t="s">
        <v>15</v>
      </c>
      <c r="F19" s="95" t="s">
        <v>16</v>
      </c>
      <c r="G19" s="95"/>
      <c r="M19">
        <f>D23</f>
        <v>0.8</v>
      </c>
      <c r="P19" s="14" t="s">
        <v>63</v>
      </c>
      <c r="Q19">
        <f>D20</f>
        <v>0.5</v>
      </c>
      <c r="R19">
        <f>D21</f>
        <v>0.6</v>
      </c>
      <c r="S19">
        <f>D22</f>
        <v>0.7</v>
      </c>
    </row>
    <row r="20" spans="2:19" x14ac:dyDescent="0.3">
      <c r="B20" s="55">
        <v>0</v>
      </c>
      <c r="C20" s="55">
        <v>100000</v>
      </c>
      <c r="D20" s="56">
        <v>0.5</v>
      </c>
      <c r="E20" s="56">
        <v>0.4</v>
      </c>
      <c r="F20" s="96">
        <v>0.1</v>
      </c>
      <c r="G20" s="97"/>
      <c r="P20" s="12" t="s">
        <v>62</v>
      </c>
      <c r="Q20" s="13"/>
    </row>
    <row r="21" spans="2:19" x14ac:dyDescent="0.3">
      <c r="B21" s="55">
        <v>100000</v>
      </c>
      <c r="C21" s="55">
        <v>250000</v>
      </c>
      <c r="D21" s="56">
        <v>0.6</v>
      </c>
      <c r="E21" s="56">
        <v>0.32</v>
      </c>
      <c r="F21" s="96">
        <v>0.08</v>
      </c>
      <c r="G21" s="97"/>
      <c r="P21" t="s">
        <v>59</v>
      </c>
      <c r="Q21" s="11">
        <f>E40</f>
        <v>0.4</v>
      </c>
    </row>
    <row r="22" spans="2:19" x14ac:dyDescent="0.3">
      <c r="B22" s="55">
        <v>250000</v>
      </c>
      <c r="C22" s="55">
        <v>500000</v>
      </c>
      <c r="D22" s="56">
        <v>0.7</v>
      </c>
      <c r="E22" s="56">
        <v>0.24</v>
      </c>
      <c r="F22" s="96">
        <v>0.06</v>
      </c>
      <c r="G22" s="97"/>
      <c r="P22" t="s">
        <v>60</v>
      </c>
      <c r="Q22" s="11">
        <f>MAX(0, 1-E40)</f>
        <v>0.6</v>
      </c>
    </row>
    <row r="23" spans="2:19" x14ac:dyDescent="0.3">
      <c r="B23" s="55">
        <v>500000</v>
      </c>
      <c r="C23" s="55">
        <v>99999999</v>
      </c>
      <c r="D23" s="56">
        <v>0.8</v>
      </c>
      <c r="E23" s="56">
        <v>0.16</v>
      </c>
      <c r="F23" s="96">
        <v>0.04</v>
      </c>
      <c r="G23" s="97"/>
    </row>
    <row r="24" spans="2:19" x14ac:dyDescent="0.3">
      <c r="P24" t="s">
        <v>61</v>
      </c>
      <c r="Q24" s="9">
        <f>E64-E35</f>
        <v>3000</v>
      </c>
    </row>
    <row r="25" spans="2:19" ht="21.9" customHeight="1" x14ac:dyDescent="0.35">
      <c r="B25" s="80" t="s">
        <v>71</v>
      </c>
      <c r="C25" s="81"/>
      <c r="D25" s="81"/>
      <c r="E25" s="81"/>
      <c r="F25" s="81"/>
      <c r="G25" s="82"/>
      <c r="Q25" s="9"/>
    </row>
    <row r="26" spans="2:19" ht="18" customHeight="1" x14ac:dyDescent="0.3">
      <c r="B26" s="83" t="s">
        <v>72</v>
      </c>
      <c r="C26" s="84"/>
      <c r="D26" s="84"/>
      <c r="E26" s="84"/>
      <c r="F26" s="84"/>
      <c r="G26" s="85"/>
      <c r="Q26" s="9"/>
    </row>
    <row r="27" spans="2:19" ht="18" customHeight="1" x14ac:dyDescent="0.3">
      <c r="B27" s="83" t="s">
        <v>73</v>
      </c>
      <c r="C27" s="84"/>
      <c r="D27" s="84"/>
      <c r="E27" s="84"/>
      <c r="F27" s="84"/>
      <c r="G27" s="85"/>
      <c r="Q27" s="9"/>
    </row>
    <row r="28" spans="2:19" ht="18" customHeight="1" x14ac:dyDescent="0.3">
      <c r="B28" s="89" t="s">
        <v>74</v>
      </c>
      <c r="C28" s="90"/>
      <c r="D28" s="90"/>
      <c r="E28" s="90"/>
      <c r="F28" s="90"/>
      <c r="G28" s="91"/>
      <c r="Q28" s="9"/>
    </row>
    <row r="29" spans="2:19" ht="21.75" customHeight="1" x14ac:dyDescent="0.3">
      <c r="B29" s="70" t="s">
        <v>17</v>
      </c>
      <c r="C29" s="70"/>
      <c r="D29" s="70"/>
      <c r="E29" s="70"/>
      <c r="F29" s="70"/>
      <c r="G29" s="70"/>
    </row>
    <row r="30" spans="2:19" x14ac:dyDescent="0.3">
      <c r="B30" s="92" t="s">
        <v>18</v>
      </c>
      <c r="C30" s="92"/>
      <c r="D30" s="92"/>
      <c r="E30" s="93">
        <f>E8*E9*E10</f>
        <v>100000</v>
      </c>
      <c r="F30" s="93"/>
      <c r="G30" s="94"/>
      <c r="P30" s="15" t="s">
        <v>64</v>
      </c>
      <c r="Q30" s="16">
        <f>E40</f>
        <v>0.4</v>
      </c>
    </row>
    <row r="31" spans="2:19" x14ac:dyDescent="0.3">
      <c r="B31" s="92" t="s">
        <v>19</v>
      </c>
      <c r="C31" s="92"/>
      <c r="D31" s="92"/>
      <c r="E31" s="93">
        <f>E30*0.18</f>
        <v>18000</v>
      </c>
      <c r="F31" s="93"/>
      <c r="G31" s="94"/>
      <c r="P31" s="17" t="s">
        <v>65</v>
      </c>
      <c r="Q31" s="18" t="str">
        <f>IF(E40&gt;=1,"🟢 עברת את היעד!",IF(E40&gt;=0.5,"🟡 בדרך הנכונה","🔴 מתחת למחצית היעד"))</f>
        <v>🔴 מתחת למחצית היעד</v>
      </c>
    </row>
    <row r="32" spans="2:19" x14ac:dyDescent="0.3">
      <c r="B32" s="92" t="s">
        <v>20</v>
      </c>
      <c r="C32" s="92"/>
      <c r="D32" s="92"/>
      <c r="E32" s="93">
        <f>E30+E31</f>
        <v>118000</v>
      </c>
      <c r="F32" s="93"/>
      <c r="G32" s="94"/>
    </row>
    <row r="33" spans="2:17" x14ac:dyDescent="0.3">
      <c r="P33" s="19" t="s">
        <v>66</v>
      </c>
      <c r="Q33" s="3" t="str">
        <f>IF(Q24=0,"✅ אין הפרש",IF(Q24&lt;2000,"⚠️ הפרש קטן","🚨 הפרש גדול! "&amp;TEXT(Q24,"#,##0 ₪")))</f>
        <v>🚨 הפרש גדול! 3,000 ₪</v>
      </c>
    </row>
    <row r="34" spans="2:17" x14ac:dyDescent="0.3">
      <c r="B34" s="92" t="s">
        <v>21</v>
      </c>
      <c r="C34" s="92"/>
      <c r="D34" s="92"/>
      <c r="E34" s="118">
        <f>LOOKUP(E11,B20:B23,D20:D23)</f>
        <v>0.6</v>
      </c>
      <c r="F34" s="118"/>
      <c r="G34" s="119"/>
    </row>
    <row r="35" spans="2:17" x14ac:dyDescent="0.3">
      <c r="B35" s="92" t="s">
        <v>22</v>
      </c>
      <c r="C35" s="92"/>
      <c r="D35" s="92"/>
      <c r="E35" s="93">
        <f>E30*E34</f>
        <v>60000</v>
      </c>
      <c r="F35" s="93"/>
      <c r="G35" s="117"/>
    </row>
    <row r="36" spans="2:17" x14ac:dyDescent="0.3">
      <c r="B36" s="92" t="s">
        <v>23</v>
      </c>
      <c r="C36" s="92"/>
      <c r="D36" s="92"/>
      <c r="E36" s="93">
        <f>E30*LOOKUP(E11,B20:B23,E20:E23)</f>
        <v>32000</v>
      </c>
      <c r="F36" s="93"/>
      <c r="G36" s="94"/>
      <c r="P36" t="s">
        <v>79</v>
      </c>
      <c r="Q36" t="s">
        <v>80</v>
      </c>
    </row>
    <row r="37" spans="2:17" x14ac:dyDescent="0.3">
      <c r="B37" s="92" t="s">
        <v>24</v>
      </c>
      <c r="C37" s="92"/>
      <c r="D37" s="92"/>
      <c r="E37" s="93">
        <f>E30*LOOKUP(E11,B20:B23,F20:F23)</f>
        <v>8000</v>
      </c>
      <c r="F37" s="93"/>
      <c r="G37" s="94"/>
      <c r="P37" t="s">
        <v>81</v>
      </c>
      <c r="Q37" s="11">
        <f>E40</f>
        <v>0.4</v>
      </c>
    </row>
    <row r="38" spans="2:17" x14ac:dyDescent="0.3">
      <c r="P38" t="s">
        <v>82</v>
      </c>
      <c r="Q38" s="11">
        <f>MAX(0,1-E40)</f>
        <v>0.6</v>
      </c>
    </row>
    <row r="39" spans="2:17" x14ac:dyDescent="0.3">
      <c r="B39" s="92" t="s">
        <v>25</v>
      </c>
      <c r="C39" s="92"/>
      <c r="D39" s="92"/>
      <c r="E39" s="93">
        <f>E11+E35</f>
        <v>240000</v>
      </c>
      <c r="F39" s="93"/>
      <c r="G39" s="94"/>
    </row>
    <row r="40" spans="2:17" x14ac:dyDescent="0.3">
      <c r="B40" s="92" t="s">
        <v>26</v>
      </c>
      <c r="C40" s="92"/>
      <c r="D40" s="92"/>
      <c r="E40" s="115">
        <f>E39/E12</f>
        <v>0.4</v>
      </c>
      <c r="F40" s="115"/>
      <c r="G40" s="116"/>
    </row>
    <row r="41" spans="2:17" x14ac:dyDescent="0.3">
      <c r="B41" s="92" t="s">
        <v>27</v>
      </c>
      <c r="C41" s="92"/>
      <c r="D41" s="92"/>
      <c r="E41" s="93">
        <f>IF(E39&gt;E12,(E39-E12)*0.05,0)</f>
        <v>0</v>
      </c>
      <c r="F41" s="93"/>
      <c r="G41" s="117"/>
    </row>
    <row r="43" spans="2:17" ht="21.9" customHeight="1" x14ac:dyDescent="0.35">
      <c r="B43" s="80" t="s">
        <v>75</v>
      </c>
      <c r="C43" s="81"/>
      <c r="D43" s="81"/>
      <c r="E43" s="81"/>
      <c r="F43" s="81"/>
      <c r="G43" s="82"/>
    </row>
    <row r="44" spans="2:17" ht="18" customHeight="1" x14ac:dyDescent="0.3">
      <c r="B44" s="83" t="s">
        <v>76</v>
      </c>
      <c r="C44" s="84"/>
      <c r="D44" s="84"/>
      <c r="E44" s="84"/>
      <c r="F44" s="84"/>
      <c r="G44" s="85"/>
    </row>
    <row r="45" spans="2:17" ht="18" customHeight="1" x14ac:dyDescent="0.3">
      <c r="B45" s="83" t="s">
        <v>77</v>
      </c>
      <c r="C45" s="84"/>
      <c r="D45" s="84"/>
      <c r="E45" s="84"/>
      <c r="F45" s="84"/>
      <c r="G45" s="85"/>
    </row>
    <row r="46" spans="2:17" ht="18" customHeight="1" x14ac:dyDescent="0.3">
      <c r="B46" s="89" t="s">
        <v>78</v>
      </c>
      <c r="C46" s="90"/>
      <c r="D46" s="90"/>
      <c r="E46" s="90"/>
      <c r="F46" s="90"/>
      <c r="G46" s="91"/>
    </row>
    <row r="47" spans="2:17" ht="21.75" customHeight="1" x14ac:dyDescent="0.3">
      <c r="B47" s="70" t="s">
        <v>28</v>
      </c>
      <c r="C47" s="70"/>
      <c r="D47" s="70"/>
      <c r="E47" s="70"/>
      <c r="F47" s="70"/>
      <c r="G47" s="70"/>
    </row>
    <row r="48" spans="2:17" x14ac:dyDescent="0.3">
      <c r="B48" s="92" t="s">
        <v>29</v>
      </c>
      <c r="C48" s="92"/>
      <c r="D48" s="92"/>
      <c r="E48" s="93">
        <f>E35</f>
        <v>60000</v>
      </c>
      <c r="F48" s="93"/>
      <c r="G48" s="94"/>
    </row>
    <row r="49" spans="2:7" x14ac:dyDescent="0.3">
      <c r="B49" s="92" t="s">
        <v>30</v>
      </c>
      <c r="C49" s="92"/>
      <c r="D49" s="92"/>
      <c r="E49" s="93">
        <f>E41</f>
        <v>0</v>
      </c>
      <c r="F49" s="93"/>
      <c r="G49" s="94"/>
    </row>
    <row r="51" spans="2:7" ht="21.9" customHeight="1" x14ac:dyDescent="0.35">
      <c r="B51" s="80" t="s">
        <v>46</v>
      </c>
      <c r="C51" s="81"/>
      <c r="D51" s="81"/>
      <c r="E51" s="81"/>
      <c r="F51" s="81"/>
      <c r="G51" s="82"/>
    </row>
    <row r="52" spans="2:7" ht="18" customHeight="1" x14ac:dyDescent="0.3">
      <c r="B52" s="86" t="s">
        <v>47</v>
      </c>
      <c r="C52" s="87"/>
      <c r="D52" s="87"/>
      <c r="E52" s="87"/>
      <c r="F52" s="87"/>
      <c r="G52" s="88"/>
    </row>
    <row r="53" spans="2:7" ht="18" customHeight="1" x14ac:dyDescent="0.3">
      <c r="B53" s="86" t="s">
        <v>48</v>
      </c>
      <c r="C53" s="87"/>
      <c r="D53" s="87"/>
      <c r="E53" s="87"/>
      <c r="F53" s="87"/>
      <c r="G53" s="88"/>
    </row>
    <row r="54" spans="2:7" ht="18" customHeight="1" x14ac:dyDescent="0.3">
      <c r="B54" s="99" t="s">
        <v>49</v>
      </c>
      <c r="C54" s="100"/>
      <c r="D54" s="100"/>
      <c r="E54" s="100"/>
      <c r="F54" s="100"/>
      <c r="G54" s="101"/>
    </row>
    <row r="55" spans="2:7" ht="18" customHeight="1" x14ac:dyDescent="0.3">
      <c r="B55" s="102" t="s">
        <v>50</v>
      </c>
      <c r="C55" s="103"/>
      <c r="D55" s="103"/>
      <c r="E55" s="103"/>
      <c r="F55" s="103"/>
      <c r="G55" s="104"/>
    </row>
    <row r="56" spans="2:7" x14ac:dyDescent="0.3">
      <c r="B56" s="7"/>
      <c r="C56" s="7"/>
      <c r="D56" s="7"/>
      <c r="E56" s="7"/>
      <c r="F56" s="7"/>
      <c r="G56" s="7"/>
    </row>
    <row r="57" spans="2:7" ht="15.6" x14ac:dyDescent="0.3">
      <c r="B57" s="98" t="s">
        <v>31</v>
      </c>
      <c r="C57" s="98"/>
      <c r="D57" s="98"/>
      <c r="E57" s="98"/>
      <c r="F57" s="98"/>
      <c r="G57" s="98"/>
    </row>
    <row r="58" spans="2:7" x14ac:dyDescent="0.3">
      <c r="B58" s="105" t="s">
        <v>32</v>
      </c>
      <c r="C58" s="105"/>
      <c r="D58" s="105"/>
      <c r="E58" s="105"/>
      <c r="F58" s="105"/>
      <c r="G58" s="105"/>
    </row>
    <row r="59" spans="2:7" x14ac:dyDescent="0.3">
      <c r="B59" s="2" t="s">
        <v>33</v>
      </c>
      <c r="C59" s="2" t="s">
        <v>34</v>
      </c>
      <c r="D59" s="2" t="s">
        <v>35</v>
      </c>
      <c r="E59" s="2" t="s">
        <v>36</v>
      </c>
      <c r="F59" s="112"/>
      <c r="G59" s="112"/>
    </row>
    <row r="60" spans="2:7" x14ac:dyDescent="0.3">
      <c r="B60" s="4" t="s">
        <v>37</v>
      </c>
      <c r="C60" s="5">
        <f>MAX(0, MIN(E11+E30, C20) - MAX(E11, B20))</f>
        <v>0</v>
      </c>
      <c r="D60" s="6" t="str">
        <f>IF(C60&gt;0, D20, "")</f>
        <v/>
      </c>
      <c r="E60" s="5">
        <f>C60*D20</f>
        <v>0</v>
      </c>
      <c r="F60" s="113"/>
      <c r="G60" s="113"/>
    </row>
    <row r="61" spans="2:7" x14ac:dyDescent="0.3">
      <c r="B61" s="4" t="s">
        <v>38</v>
      </c>
      <c r="C61" s="5">
        <f>MAX(0, MIN(E11+E30, C21) - MAX(E11, B21))</f>
        <v>70000</v>
      </c>
      <c r="D61" s="6">
        <f>IF(C61&gt;0, D21, "")</f>
        <v>0.6</v>
      </c>
      <c r="E61" s="5">
        <f>C61*D21</f>
        <v>42000</v>
      </c>
      <c r="F61" s="113"/>
      <c r="G61" s="113"/>
    </row>
    <row r="62" spans="2:7" x14ac:dyDescent="0.3">
      <c r="B62" s="4" t="s">
        <v>39</v>
      </c>
      <c r="C62" s="5">
        <f>MAX(0, MIN(E11+E30, C22) - MAX(E11, B22))</f>
        <v>30000</v>
      </c>
      <c r="D62" s="6">
        <f>IF(C62&gt;0, D22, "")</f>
        <v>0.7</v>
      </c>
      <c r="E62" s="5">
        <f>C62*D22</f>
        <v>21000</v>
      </c>
      <c r="F62" s="113"/>
      <c r="G62" s="113"/>
    </row>
    <row r="63" spans="2:7" x14ac:dyDescent="0.3">
      <c r="B63" s="4" t="s">
        <v>40</v>
      </c>
      <c r="C63" s="5">
        <f>MAX(0, MIN(E11+E30, C23) - MAX(E11, B23))</f>
        <v>0</v>
      </c>
      <c r="D63" s="6" t="str">
        <f>IF(C63&gt;0, D23, "")</f>
        <v/>
      </c>
      <c r="E63" s="5">
        <f>C63*D23</f>
        <v>0</v>
      </c>
      <c r="F63" s="113"/>
      <c r="G63" s="113"/>
    </row>
    <row r="64" spans="2:7" x14ac:dyDescent="0.3">
      <c r="B64" s="57" t="s">
        <v>41</v>
      </c>
      <c r="C64" s="58">
        <f>SUM(C60:C63)</f>
        <v>100000</v>
      </c>
      <c r="D64" s="3"/>
      <c r="E64" s="58">
        <f>SUM(E60:E63)</f>
        <v>63000</v>
      </c>
      <c r="F64" s="112"/>
      <c r="G64" s="114"/>
    </row>
    <row r="66" spans="2:7" x14ac:dyDescent="0.3">
      <c r="B66" s="106" t="s">
        <v>42</v>
      </c>
      <c r="C66" s="106"/>
      <c r="D66" s="106"/>
      <c r="E66" s="106"/>
      <c r="F66" s="106"/>
      <c r="G66" s="106"/>
    </row>
    <row r="67" spans="2:7" x14ac:dyDescent="0.3">
      <c r="B67" s="107" t="s">
        <v>43</v>
      </c>
      <c r="C67" s="107"/>
      <c r="D67" s="107"/>
      <c r="E67" s="108">
        <f>E64</f>
        <v>63000</v>
      </c>
      <c r="F67" s="108"/>
      <c r="G67" s="109"/>
    </row>
    <row r="68" spans="2:7" x14ac:dyDescent="0.3">
      <c r="B68" s="107" t="s">
        <v>44</v>
      </c>
      <c r="C68" s="107"/>
      <c r="D68" s="107"/>
      <c r="E68" s="110">
        <f>E35</f>
        <v>60000</v>
      </c>
      <c r="F68" s="110"/>
      <c r="G68" s="110"/>
    </row>
    <row r="69" spans="2:7" x14ac:dyDescent="0.3">
      <c r="B69" s="107" t="s">
        <v>45</v>
      </c>
      <c r="C69" s="107"/>
      <c r="D69" s="107"/>
      <c r="E69" s="111" t="str">
        <f>IF(E64-E35=0,"אין הפרש — העסקה כולה במדרגה אחת",TEXT(E64-E35,"#,##0 ₪")&amp;" לטובת המתווך")</f>
        <v>3,000 ₪ לטובת המתווך</v>
      </c>
      <c r="F69" s="111"/>
      <c r="G69" s="111"/>
    </row>
  </sheetData>
  <mergeCells count="80">
    <mergeCell ref="B32:D32"/>
    <mergeCell ref="E32:G32"/>
    <mergeCell ref="B34:D34"/>
    <mergeCell ref="E34:G34"/>
    <mergeCell ref="B35:D35"/>
    <mergeCell ref="E35:G35"/>
    <mergeCell ref="B58:G58"/>
    <mergeCell ref="B66:G66"/>
    <mergeCell ref="B67:D67"/>
    <mergeCell ref="B68:D68"/>
    <mergeCell ref="B69:D69"/>
    <mergeCell ref="E67:G67"/>
    <mergeCell ref="E68:G68"/>
    <mergeCell ref="E69:G69"/>
    <mergeCell ref="F59:G59"/>
    <mergeCell ref="F60:G60"/>
    <mergeCell ref="F61:G61"/>
    <mergeCell ref="F62:G62"/>
    <mergeCell ref="F63:G63"/>
    <mergeCell ref="F64:G64"/>
    <mergeCell ref="B48:D48"/>
    <mergeCell ref="E48:G48"/>
    <mergeCell ref="B49:D49"/>
    <mergeCell ref="E49:G49"/>
    <mergeCell ref="B57:G57"/>
    <mergeCell ref="B51:G51"/>
    <mergeCell ref="B52:G52"/>
    <mergeCell ref="B53:G53"/>
    <mergeCell ref="B54:G54"/>
    <mergeCell ref="B55:G55"/>
    <mergeCell ref="B47:G47"/>
    <mergeCell ref="B44:G44"/>
    <mergeCell ref="B45:G45"/>
    <mergeCell ref="B46:G46"/>
    <mergeCell ref="B36:D36"/>
    <mergeCell ref="E36:G36"/>
    <mergeCell ref="B37:D37"/>
    <mergeCell ref="E37:G37"/>
    <mergeCell ref="B39:D39"/>
    <mergeCell ref="E39:G39"/>
    <mergeCell ref="B43:G43"/>
    <mergeCell ref="B40:D40"/>
    <mergeCell ref="E40:G40"/>
    <mergeCell ref="B41:D41"/>
    <mergeCell ref="E41:G41"/>
    <mergeCell ref="B30:D30"/>
    <mergeCell ref="E30:G30"/>
    <mergeCell ref="B31:D31"/>
    <mergeCell ref="E31:G31"/>
    <mergeCell ref="F19:G19"/>
    <mergeCell ref="F20:G20"/>
    <mergeCell ref="F21:G21"/>
    <mergeCell ref="F22:G22"/>
    <mergeCell ref="F23:G23"/>
    <mergeCell ref="B25:G25"/>
    <mergeCell ref="B26:G26"/>
    <mergeCell ref="B27:G27"/>
    <mergeCell ref="B28:G28"/>
    <mergeCell ref="B29:G29"/>
    <mergeCell ref="B11:D11"/>
    <mergeCell ref="E11:G11"/>
    <mergeCell ref="B12:D12"/>
    <mergeCell ref="E12:G12"/>
    <mergeCell ref="B18:G18"/>
    <mergeCell ref="B14:G14"/>
    <mergeCell ref="B15:G15"/>
    <mergeCell ref="B16:G16"/>
    <mergeCell ref="B17:G17"/>
    <mergeCell ref="B8:D8"/>
    <mergeCell ref="E8:G8"/>
    <mergeCell ref="B9:D9"/>
    <mergeCell ref="E9:G9"/>
    <mergeCell ref="B10:D10"/>
    <mergeCell ref="E10:G10"/>
    <mergeCell ref="B2:G3"/>
    <mergeCell ref="B5:G5"/>
    <mergeCell ref="B6:D6"/>
    <mergeCell ref="E6:G6"/>
    <mergeCell ref="B7:D7"/>
    <mergeCell ref="E7:G7"/>
  </mergeCells>
  <conditionalFormatting sqref="E40">
    <cfRule type="dataBar" priority="7">
      <dataBar>
        <cfvo type="num" val="0"/>
        <cfvo type="num" val="1"/>
        <color rgb="FF1B7B7B"/>
      </dataBar>
      <extLst>
        <ext xmlns:x14="http://schemas.microsoft.com/office/spreadsheetml/2009/9/main" uri="{B025F937-C7B1-47D3-B67F-A62EFF666E3E}">
          <x14:id>{1C84A3C2-C06A-4C31-AABA-F788CBA7C59B}</x14:id>
        </ext>
      </extLst>
    </cfRule>
  </conditionalFormatting>
  <conditionalFormatting sqref="Q31">
    <cfRule type="cellIs" dxfId="5" priority="1" operator="greaterThanOrEqual">
      <formula>1</formula>
    </cfRule>
    <cfRule type="expression" dxfId="4" priority="2">
      <formula>AND(Q30&gt;=0.5,Q30&lt;1)</formula>
    </cfRule>
    <cfRule type="expression" dxfId="3" priority="3">
      <formula>Q30&lt;0.5</formula>
    </cfRule>
  </conditionalFormatting>
  <conditionalFormatting sqref="Q33">
    <cfRule type="expression" dxfId="2" priority="4">
      <formula>Q24=0</formula>
    </cfRule>
    <cfRule type="expression" dxfId="1" priority="5">
      <formula>AND(Q24&gt;0,Q24&lt;2000)</formula>
    </cfRule>
    <cfRule type="expression" dxfId="0" priority="6">
      <formula>Q24&gt;=2000</formula>
    </cfRule>
  </conditionalFormatting>
  <dataValidations disablePrompts="1" count="1">
    <dataValidation type="whole" allowBlank="1" showInputMessage="1" showErrorMessage="1" errorTitle="ערך לא תקין" error="יש להזין 1 (קונה או מוכר) או 2 (שניהם) בלבד" promptTitle="צדדים משלמים" prompt="הזן 1 (קונה או מוכר) או 2 (שניהם)" sqref="E10" xr:uid="{FB45FCF0-8AC2-4D22-B974-188BE831D0D5}">
      <formula1>1</formula1>
      <formula2>2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84A3C2-C06A-4C31-AABA-F788CBA7C59B}">
            <x14:dataBar minLength="0" maxLength="100" border="1" direction="leftToRight" negativeBarColorSameAsPositive="1" axisPosition="none">
              <x14:cfvo type="num">
                <xm:f>0</xm:f>
              </x14:cfvo>
              <x14:cfvo type="num">
                <xm:f>1</xm:f>
              </x14:cfvo>
              <x14:borderColor rgb="FF0F2A47"/>
            </x14:dataBar>
          </x14:cfRule>
          <xm:sqref>E40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0F0F-301D-45A6-BCC2-DB88046A1C1E}">
  <dimension ref="A1:I17"/>
  <sheetViews>
    <sheetView rightToLeft="1" workbookViewId="0"/>
  </sheetViews>
  <sheetFormatPr defaultRowHeight="14.4" x14ac:dyDescent="0.3"/>
  <cols>
    <col min="1" max="1" width="13.33203125" customWidth="1"/>
    <col min="2" max="2" width="30.44140625" customWidth="1"/>
    <col min="3" max="9" width="16.6640625" customWidth="1"/>
  </cols>
  <sheetData>
    <row r="1" spans="1:9" ht="18" x14ac:dyDescent="0.35">
      <c r="B1" s="20" t="s">
        <v>83</v>
      </c>
    </row>
    <row r="2" spans="1:9" x14ac:dyDescent="0.3">
      <c r="B2" s="22" t="s">
        <v>84</v>
      </c>
    </row>
    <row r="3" spans="1:9" x14ac:dyDescent="0.3">
      <c r="B3" s="22" t="s">
        <v>85</v>
      </c>
    </row>
    <row r="5" spans="1:9" x14ac:dyDescent="0.3">
      <c r="B5" s="25" t="s">
        <v>86</v>
      </c>
      <c r="C5" s="26">
        <v>1000000</v>
      </c>
      <c r="D5" s="26">
        <v>1500000</v>
      </c>
      <c r="E5" s="26">
        <v>2000000</v>
      </c>
      <c r="F5" s="26">
        <v>2500000</v>
      </c>
      <c r="G5" s="26">
        <v>3000000</v>
      </c>
      <c r="H5" s="26">
        <v>3500000</v>
      </c>
      <c r="I5" s="26">
        <v>4000000</v>
      </c>
    </row>
    <row r="6" spans="1:9" x14ac:dyDescent="0.3">
      <c r="A6" s="25" t="s">
        <v>87</v>
      </c>
    </row>
    <row r="7" spans="1:9" x14ac:dyDescent="0.3">
      <c r="A7" s="27">
        <v>5</v>
      </c>
      <c r="C7" s="30">
        <f>$A7*C$5*נדלן!$E$9*נדלן!$E$10*INDEX(נדלן!$D$20:$D$23,MATCH(נדלן!$E$11+$A7*C$5*נדלן!$E$9*נדלן!$E$10,נדלן!$B$20:$B$23,1))</f>
        <v>140000</v>
      </c>
      <c r="D7" s="30">
        <f>$A7*D$5*נדלן!$E$9*נדלן!$E$10*INDEX(נדלן!$D$20:$D$23,MATCH(נדלן!$E$11+$A7*D$5*נדלן!$E$9*נדלן!$E$10,נדלן!$B$20:$B$23,1))</f>
        <v>210000</v>
      </c>
      <c r="E7" s="30">
        <f>$A7*E$5*נדלן!$E$9*נדלן!$E$10*INDEX(נדלן!$D$20:$D$23,MATCH(נדלן!$E$11+$A7*E$5*נדלן!$E$9*נדלן!$E$10,נדלן!$B$20:$B$23,1))</f>
        <v>320000</v>
      </c>
      <c r="F7" s="30">
        <f>$A7*F$5*נדלן!$E$9*נדלן!$E$10*INDEX(נדלן!$D$20:$D$23,MATCH(נדלן!$E$11+$A7*F$5*נדלן!$E$9*נדלן!$E$10,נדלן!$B$20:$B$23,1))</f>
        <v>400000</v>
      </c>
      <c r="G7" s="30">
        <f>$A7*G$5*נדלן!$E$9*נדלן!$E$10*INDEX(נדלן!$D$20:$D$23,MATCH(נדלן!$E$11+$A7*G$5*נדלן!$E$9*נדלן!$E$10,נדלן!$B$20:$B$23,1))</f>
        <v>480000</v>
      </c>
      <c r="H7" s="30">
        <f>$A7*H$5*נדלן!$E$9*נדלן!$E$10*INDEX(נדלן!$D$20:$D$23,MATCH(נדלן!$E$11+$A7*H$5*נדלן!$E$9*נדלן!$E$10,נדלן!$B$20:$B$23,1))</f>
        <v>560000</v>
      </c>
      <c r="I7" s="30">
        <f>$A7*I$5*נדלן!$E$9*נדלן!$E$10*INDEX(נדלן!$D$20:$D$23,MATCH(נדלן!$E$11+$A7*I$5*נדלן!$E$9*נדלן!$E$10,נדלן!$B$20:$B$23,1))</f>
        <v>640000</v>
      </c>
    </row>
    <row r="8" spans="1:9" x14ac:dyDescent="0.3">
      <c r="A8" s="27">
        <v>10</v>
      </c>
      <c r="C8" s="30">
        <f>$A8*C$5*נדלן!$E$9*נדלן!$E$10*INDEX(נדלן!$D$20:$D$23,MATCH(נדלן!$E$11+$A8*C$5*נדלן!$E$9*נדלן!$E$10,נדלן!$B$20:$B$23,1))</f>
        <v>320000</v>
      </c>
      <c r="D8" s="30">
        <f>$A8*D$5*נדלן!$E$9*נדלן!$E$10*INDEX(נדלן!$D$20:$D$23,MATCH(נדלן!$E$11+$A8*D$5*נדלן!$E$9*נדלן!$E$10,נדלן!$B$20:$B$23,1))</f>
        <v>480000</v>
      </c>
      <c r="E8" s="30">
        <f>$A8*E$5*נדלן!$E$9*נדלן!$E$10*INDEX(נדלן!$D$20:$D$23,MATCH(נדלן!$E$11+$A8*E$5*נדלן!$E$9*נדלן!$E$10,נדלן!$B$20:$B$23,1))</f>
        <v>640000</v>
      </c>
      <c r="F8" s="30">
        <f>$A8*F$5*נדלן!$E$9*נדלן!$E$10*INDEX(נדלן!$D$20:$D$23,MATCH(נדלן!$E$11+$A8*F$5*נדלן!$E$9*נדלן!$E$10,נדלן!$B$20:$B$23,1))</f>
        <v>800000</v>
      </c>
      <c r="G8" s="30">
        <f>$A8*G$5*נדלן!$E$9*נדלן!$E$10*INDEX(נדלן!$D$20:$D$23,MATCH(נדלן!$E$11+$A8*G$5*נדלן!$E$9*נדלן!$E$10,נדלן!$B$20:$B$23,1))</f>
        <v>960000</v>
      </c>
      <c r="H8" s="30">
        <f>$A8*H$5*נדלן!$E$9*נדלן!$E$10*INDEX(נדלן!$D$20:$D$23,MATCH(נדלן!$E$11+$A8*H$5*נדלן!$E$9*נדלן!$E$10,נדלן!$B$20:$B$23,1))</f>
        <v>1120000</v>
      </c>
      <c r="I8" s="30">
        <f>$A8*I$5*נדלן!$E$9*נדלן!$E$10*INDEX(נדלן!$D$20:$D$23,MATCH(נדלן!$E$11+$A8*I$5*נדלן!$E$9*נדלן!$E$10,נדלן!$B$20:$B$23,1))</f>
        <v>1280000</v>
      </c>
    </row>
    <row r="9" spans="1:9" ht="15" thickBot="1" x14ac:dyDescent="0.35">
      <c r="A9" s="27">
        <v>15</v>
      </c>
      <c r="C9" s="30">
        <f>$A9*C$5*נדלן!$E$9*נדלן!$E$10*INDEX(נדלן!$D$20:$D$23,MATCH(נדלן!$E$11+$A9*C$5*נדלן!$E$9*נדלן!$E$10,נדלן!$B$20:$B$23,1))</f>
        <v>480000</v>
      </c>
      <c r="D9" s="30">
        <f>$A9*D$5*נדלן!$E$9*נדלן!$E$10*INDEX(נדלן!$D$20:$D$23,MATCH(נדלן!$E$11+$A9*D$5*נדלן!$E$9*נדלן!$E$10,נדלן!$B$20:$B$23,1))</f>
        <v>720000</v>
      </c>
      <c r="E9" s="30">
        <f>$A9*E$5*נדלן!$E$9*נדלן!$E$10*INDEX(נדלן!$D$20:$D$23,MATCH(נדלן!$E$11+$A9*E$5*נדלן!$E$9*נדלן!$E$10,נדלן!$B$20:$B$23,1))</f>
        <v>960000</v>
      </c>
      <c r="F9" s="31">
        <f>$A9*F$5*נדלן!$E$9*נדלן!$E$10*INDEX(נדלן!$D$20:$D$23,MATCH(נדלן!$E$11+$A9*F$5*נדלן!$E$9*נדלן!$E$10,נדלן!$B$20:$B$23,1))</f>
        <v>1200000</v>
      </c>
      <c r="G9" s="30">
        <f>$A9*G$5*נדלן!$E$9*נדלן!$E$10*INDEX(נדלן!$D$20:$D$23,MATCH(נדלן!$E$11+$A9*G$5*נדלן!$E$9*נדלן!$E$10,נדלן!$B$20:$B$23,1))</f>
        <v>1440000</v>
      </c>
      <c r="H9" s="30">
        <f>$A9*H$5*נדלן!$E$9*נדלן!$E$10*INDEX(נדלן!$D$20:$D$23,MATCH(נדלן!$E$11+$A9*H$5*נדלן!$E$9*נדלן!$E$10,נדלן!$B$20:$B$23,1))</f>
        <v>1680000</v>
      </c>
      <c r="I9" s="30">
        <f>$A9*I$5*נדלן!$E$9*נדלן!$E$10*INDEX(נדלן!$D$20:$D$23,MATCH(נדלן!$E$11+$A9*I$5*נדלן!$E$9*נדלן!$E$10,נדלן!$B$20:$B$23,1))</f>
        <v>1920000</v>
      </c>
    </row>
    <row r="10" spans="1:9" ht="15.6" thickTop="1" thickBot="1" x14ac:dyDescent="0.35">
      <c r="A10" s="27">
        <v>20</v>
      </c>
      <c r="C10" s="30">
        <f>$A10*C$5*נדלן!$E$9*נדלן!$E$10*INDEX(נדלן!$D$20:$D$23,MATCH(נדלן!$E$11+$A10*C$5*נדלן!$E$9*נדלן!$E$10,נדלן!$B$20:$B$23,1))</f>
        <v>640000</v>
      </c>
      <c r="D10" s="30">
        <f>$A10*D$5*נדלן!$E$9*נדלן!$E$10*INDEX(נדלן!$D$20:$D$23,MATCH(נדלן!$E$11+$A10*D$5*נדלן!$E$9*נדלן!$E$10,נדלן!$B$20:$B$23,1))</f>
        <v>960000</v>
      </c>
      <c r="E10" s="28">
        <f>$A10*E$5*נדלן!$E$9*נדלן!$E$10*INDEX(נדלן!$D$20:$D$23,MATCH(נדלן!$E$11+$A10*E$5*נדלן!$E$9*נדלן!$E$10,נדלן!$B$20:$B$23,1))</f>
        <v>1280000</v>
      </c>
      <c r="F10" s="33">
        <f>$A10*F$5*נדלן!$E$9*נדלן!$E$10*INDEX(נדלן!$D$20:$D$23,MATCH(נדלן!$E$11+$A10*F$5*נדלן!$E$9*נדלן!$E$10,נדלן!$B$20:$B$23,1))</f>
        <v>1600000</v>
      </c>
      <c r="G10" s="29">
        <f>$A10*G$5*נדלן!$E$9*נדלן!$E$10*INDEX(נדלן!$D$20:$D$23,MATCH(נדלן!$E$11+$A10*G$5*נדלן!$E$9*נדלן!$E$10,נדלן!$B$20:$B$23,1))</f>
        <v>1920000</v>
      </c>
      <c r="H10" s="30">
        <f>$A10*H$5*נדלן!$E$9*נדלן!$E$10*INDEX(נדלן!$D$20:$D$23,MATCH(נדלן!$E$11+$A10*H$5*נדלן!$E$9*נדלן!$E$10,נדלן!$B$20:$B$23,1))</f>
        <v>2240000</v>
      </c>
      <c r="I10" s="30">
        <f>$A10*I$5*נדלן!$E$9*נדלן!$E$10*INDEX(נדלן!$D$20:$D$23,MATCH(נדלן!$E$11+$A10*I$5*נדלן!$E$9*נדלן!$E$10,נדלן!$B$20:$B$23,1))</f>
        <v>2560000</v>
      </c>
    </row>
    <row r="11" spans="1:9" ht="15" thickTop="1" x14ac:dyDescent="0.3">
      <c r="A11" s="27">
        <v>25</v>
      </c>
      <c r="C11" s="30">
        <f>$A11*C$5*נדלן!$E$9*נדלן!$E$10*INDEX(נדלן!$D$20:$D$23,MATCH(נדלן!$E$11+$A11*C$5*נדלן!$E$9*נדלן!$E$10,נדלן!$B$20:$B$23,1))</f>
        <v>800000</v>
      </c>
      <c r="D11" s="30">
        <f>$A11*D$5*נדלן!$E$9*נדלן!$E$10*INDEX(נדלן!$D$20:$D$23,MATCH(נדלן!$E$11+$A11*D$5*נדלן!$E$9*נדלן!$E$10,נדלן!$B$20:$B$23,1))</f>
        <v>1200000</v>
      </c>
      <c r="E11" s="30">
        <f>$A11*E$5*נדלן!$E$9*נדלן!$E$10*INDEX(נדלן!$D$20:$D$23,MATCH(נדלן!$E$11+$A11*E$5*נדלן!$E$9*נדלן!$E$10,נדלן!$B$20:$B$23,1))</f>
        <v>1600000</v>
      </c>
      <c r="F11" s="32">
        <f>$A11*F$5*נדלן!$E$9*נדלן!$E$10*INDEX(נדלן!$D$20:$D$23,MATCH(נדלן!$E$11+$A11*F$5*נדלן!$E$9*נדלן!$E$10,נדלן!$B$20:$B$23,1))</f>
        <v>2000000</v>
      </c>
      <c r="G11" s="30">
        <f>$A11*G$5*נדלן!$E$9*נדלן!$E$10*INDEX(נדלן!$D$20:$D$23,MATCH(נדלן!$E$11+$A11*G$5*נדלן!$E$9*נדלן!$E$10,נדלן!$B$20:$B$23,1))</f>
        <v>2400000</v>
      </c>
      <c r="H11" s="30">
        <f>$A11*H$5*נדלן!$E$9*נדלן!$E$10*INDEX(נדלן!$D$20:$D$23,MATCH(נדלן!$E$11+$A11*H$5*נדלן!$E$9*נדלן!$E$10,נדלן!$B$20:$B$23,1))</f>
        <v>2800000</v>
      </c>
      <c r="I11" s="30">
        <f>$A11*I$5*נדלן!$E$9*נדלן!$E$10*INDEX(נדלן!$D$20:$D$23,MATCH(נדלן!$E$11+$A11*I$5*נדלן!$E$9*נדלן!$E$10,נדלן!$B$20:$B$23,1))</f>
        <v>3200000</v>
      </c>
    </row>
    <row r="12" spans="1:9" x14ac:dyDescent="0.3">
      <c r="A12" s="27">
        <v>30</v>
      </c>
      <c r="C12" s="30">
        <f>$A12*C$5*נדלן!$E$9*נדלן!$E$10*INDEX(נדלן!$D$20:$D$23,MATCH(נדלן!$E$11+$A12*C$5*נדלן!$E$9*נדלן!$E$10,נדלן!$B$20:$B$23,1))</f>
        <v>960000</v>
      </c>
      <c r="D12" s="30">
        <f>$A12*D$5*נדלן!$E$9*נדלן!$E$10*INDEX(נדלן!$D$20:$D$23,MATCH(נדלן!$E$11+$A12*D$5*נדלן!$E$9*נדלן!$E$10,נדלן!$B$20:$B$23,1))</f>
        <v>1440000</v>
      </c>
      <c r="E12" s="30">
        <f>$A12*E$5*נדלן!$E$9*נדלן!$E$10*INDEX(נדלן!$D$20:$D$23,MATCH(נדלן!$E$11+$A12*E$5*נדלן!$E$9*נדלן!$E$10,נדלן!$B$20:$B$23,1))</f>
        <v>1920000</v>
      </c>
      <c r="F12" s="30">
        <f>$A12*F$5*נדלן!$E$9*נדלן!$E$10*INDEX(נדלן!$D$20:$D$23,MATCH(נדלן!$E$11+$A12*F$5*נדלן!$E$9*נדלן!$E$10,נדלן!$B$20:$B$23,1))</f>
        <v>2400000</v>
      </c>
      <c r="G12" s="30">
        <f>$A12*G$5*נדלן!$E$9*נדלן!$E$10*INDEX(נדלן!$D$20:$D$23,MATCH(נדלן!$E$11+$A12*G$5*נדלן!$E$9*נדלן!$E$10,נדלן!$B$20:$B$23,1))</f>
        <v>2880000</v>
      </c>
      <c r="H12" s="30">
        <f>$A12*H$5*נדלן!$E$9*נדלן!$E$10*INDEX(נדלן!$D$20:$D$23,MATCH(נדלן!$E$11+$A12*H$5*נדלן!$E$9*נדלן!$E$10,נדלן!$B$20:$B$23,1))</f>
        <v>3360000</v>
      </c>
      <c r="I12" s="30">
        <f>$A12*I$5*נדלן!$E$9*נדלן!$E$10*INDEX(נדלן!$D$20:$D$23,MATCH(נדלן!$E$11+$A12*I$5*נדלן!$E$9*נדלן!$E$10,נדלן!$B$20:$B$23,1))</f>
        <v>3840000</v>
      </c>
    </row>
    <row r="14" spans="1:9" x14ac:dyDescent="0.3">
      <c r="A14" s="24" t="s">
        <v>88</v>
      </c>
      <c r="C14" s="35" t="s">
        <v>92</v>
      </c>
    </row>
    <row r="15" spans="1:9" x14ac:dyDescent="0.3">
      <c r="A15" s="21" t="s">
        <v>89</v>
      </c>
    </row>
    <row r="16" spans="1:9" x14ac:dyDescent="0.3">
      <c r="A16" s="21" t="s">
        <v>90</v>
      </c>
    </row>
    <row r="17" spans="1:1" x14ac:dyDescent="0.3">
      <c r="A17" s="34" t="s">
        <v>91</v>
      </c>
    </row>
  </sheetData>
  <conditionalFormatting sqref="C7:I12">
    <cfRule type="colorScale" priority="1">
      <colorScale>
        <cfvo type="min"/>
        <cfvo type="percent" val="50"/>
        <cfvo type="max"/>
        <color rgb="FFFFFFFF"/>
        <color rgb="FFD6E4EC"/>
        <color rgb="FF1B7B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A1D8-6375-4166-839B-1CF663B19B8D}">
  <dimension ref="B1:F18"/>
  <sheetViews>
    <sheetView rightToLeft="1" workbookViewId="0"/>
  </sheetViews>
  <sheetFormatPr defaultRowHeight="14.4" x14ac:dyDescent="0.3"/>
  <cols>
    <col min="2" max="2" width="38.109375" customWidth="1"/>
    <col min="3" max="3" width="34.33203125" customWidth="1"/>
    <col min="4" max="6" width="21" customWidth="1"/>
  </cols>
  <sheetData>
    <row r="1" spans="2:6" ht="18" x14ac:dyDescent="0.35">
      <c r="B1" s="20" t="s">
        <v>93</v>
      </c>
    </row>
    <row r="2" spans="2:6" x14ac:dyDescent="0.3">
      <c r="B2" s="22" t="s">
        <v>94</v>
      </c>
    </row>
    <row r="4" spans="2:6" x14ac:dyDescent="0.3">
      <c r="B4" s="36" t="s">
        <v>95</v>
      </c>
    </row>
    <row r="5" spans="2:6" x14ac:dyDescent="0.3">
      <c r="B5" s="23" t="s">
        <v>96</v>
      </c>
      <c r="C5" s="52">
        <f>נדלן!E8</f>
        <v>2500000</v>
      </c>
    </row>
    <row r="6" spans="2:6" x14ac:dyDescent="0.3">
      <c r="B6" s="23" t="s">
        <v>97</v>
      </c>
      <c r="C6" s="53">
        <f>נדלן!E10</f>
        <v>2</v>
      </c>
    </row>
    <row r="7" spans="2:6" x14ac:dyDescent="0.3">
      <c r="B7" s="23" t="s">
        <v>98</v>
      </c>
      <c r="C7" s="52">
        <f>נדלן!E11</f>
        <v>180000</v>
      </c>
    </row>
    <row r="9" spans="2:6" ht="15.6" x14ac:dyDescent="0.3">
      <c r="C9" s="37" t="s">
        <v>99</v>
      </c>
      <c r="D9" s="42">
        <v>1.4999999999999999E-2</v>
      </c>
      <c r="E9" s="47">
        <v>0.02</v>
      </c>
      <c r="F9" s="50">
        <v>2.5000000000000001E-2</v>
      </c>
    </row>
    <row r="10" spans="2:6" x14ac:dyDescent="0.3">
      <c r="C10" s="38" t="s">
        <v>100</v>
      </c>
      <c r="D10" s="43">
        <f>$C$5*0.015*$C$6</f>
        <v>75000</v>
      </c>
      <c r="E10" s="43">
        <f>$C$5*0.02*$C$6</f>
        <v>100000</v>
      </c>
      <c r="F10" s="40">
        <f>$C$5*0.025*$C$6</f>
        <v>125000</v>
      </c>
    </row>
    <row r="11" spans="2:6" x14ac:dyDescent="0.3">
      <c r="C11" s="38" t="s">
        <v>101</v>
      </c>
      <c r="D11" s="43">
        <f>D10*0.18</f>
        <v>13500</v>
      </c>
      <c r="E11" s="43">
        <f>E10*0.18</f>
        <v>18000</v>
      </c>
      <c r="F11" s="40">
        <f>F10*0.18</f>
        <v>22500</v>
      </c>
    </row>
    <row r="12" spans="2:6" x14ac:dyDescent="0.3">
      <c r="C12" s="38" t="s">
        <v>102</v>
      </c>
      <c r="D12" s="43">
        <f>D10+D11</f>
        <v>88500</v>
      </c>
      <c r="E12" s="43">
        <f>E10+E11</f>
        <v>118000</v>
      </c>
      <c r="F12" s="40">
        <f>F10+F11</f>
        <v>147500</v>
      </c>
    </row>
    <row r="13" spans="2:6" x14ac:dyDescent="0.3">
      <c r="C13" s="38" t="s">
        <v>103</v>
      </c>
      <c r="D13" s="44">
        <f>INDEX(נדלן!$D$20:$D$23,MATCH($C$7+D10,נדלן!$B$20:$B$23,1))</f>
        <v>0.7</v>
      </c>
      <c r="E13" s="44">
        <f>INDEX(נדלן!$D$20:$D$23,MATCH($C$7+E10,נדלן!$B$20:$B$23,1))</f>
        <v>0.7</v>
      </c>
      <c r="F13" s="41">
        <f>INDEX(נדלן!$D$20:$D$23,MATCH($C$7+F10,נדלן!$B$20:$B$23,1))</f>
        <v>0.7</v>
      </c>
    </row>
    <row r="14" spans="2:6" x14ac:dyDescent="0.3">
      <c r="C14" s="39" t="s">
        <v>104</v>
      </c>
      <c r="D14" s="45">
        <f>D10*D13</f>
        <v>52500</v>
      </c>
      <c r="E14" s="48">
        <f>E10*E13</f>
        <v>70000</v>
      </c>
      <c r="F14" s="51">
        <f>F10*F13</f>
        <v>87500</v>
      </c>
    </row>
    <row r="15" spans="2:6" x14ac:dyDescent="0.3">
      <c r="C15" s="38" t="s">
        <v>105</v>
      </c>
      <c r="D15" s="43">
        <f>$C$7+D10</f>
        <v>255000</v>
      </c>
      <c r="E15" s="43">
        <f>$C$7+E10</f>
        <v>280000</v>
      </c>
      <c r="F15" s="40">
        <f>$C$7+F10</f>
        <v>305000</v>
      </c>
    </row>
    <row r="16" spans="2:6" x14ac:dyDescent="0.3">
      <c r="C16" s="38" t="s">
        <v>106</v>
      </c>
      <c r="D16" s="46">
        <f>D14-E14</f>
        <v>-17500</v>
      </c>
      <c r="E16" s="49" t="s">
        <v>107</v>
      </c>
      <c r="F16" s="54">
        <f>F14-E14</f>
        <v>17500</v>
      </c>
    </row>
    <row r="18" spans="2:6" x14ac:dyDescent="0.3">
      <c r="B18" s="120" t="s">
        <v>108</v>
      </c>
      <c r="C18" s="121"/>
      <c r="D18" s="121"/>
      <c r="E18" s="121"/>
      <c r="F18" s="121"/>
    </row>
  </sheetData>
  <mergeCells count="1">
    <mergeCell ref="B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ברוכים הבאים</vt:lpstr>
      <vt:lpstr>תפריט</vt:lpstr>
      <vt:lpstr>נדלן</vt:lpstr>
      <vt:lpstr>טבלת רגישות</vt:lpstr>
      <vt:lpstr>השוואת תרחישים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Eyal Bardugo</cp:lastModifiedBy>
  <cp:revision>0</cp:revision>
  <dcterms:created xsi:type="dcterms:W3CDTF">2026-04-11T15:26:49Z</dcterms:created>
  <dcterms:modified xsi:type="dcterms:W3CDTF">2026-04-21T12:54:52Z</dcterms:modified>
  <dc:language>en-US</dc:language>
</cp:coreProperties>
</file>