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wp\excel\static\files\"/>
    </mc:Choice>
  </mc:AlternateContent>
  <xr:revisionPtr revIDLastSave="0" documentId="13_ncr:1_{FFD312B4-6C7B-47F5-A1DE-A58002C21D5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בית" sheetId="3" r:id="rId1"/>
    <sheet name="עזר" sheetId="2" r:id="rId2"/>
    <sheet name="מקורות" sheetId="1" r:id="rId3"/>
  </sheets>
  <definedNames>
    <definedName name="BUSINESS_INCOME">עזר!$E$4</definedName>
    <definedName name="Calendar_Year">בית!$C$3</definedName>
    <definedName name="CHART_1_DATA">עזר!$C$106:$C$107</definedName>
    <definedName name="CURRENT_ARNONA">עזר!$E$6</definedName>
    <definedName name="CURRENT_ELECTRICITY">עזר!$E$7</definedName>
    <definedName name="EMPLOYER_EXPANSES">עזר!$E$5</definedName>
    <definedName name="GENDERS">עזר!$A$100:$A$101</definedName>
    <definedName name="LATEST">עזר!$B$113</definedName>
    <definedName name="SALARY">עזר!$E$3</definedName>
    <definedName name="TOTAL_EXPANSES">עזר!$E$11</definedName>
    <definedName name="valSelEmployee">בית!$C$2</definedName>
    <definedName name="VER">עזר!$B$112</definedName>
    <definedName name="WATER">עזר!$E$8</definedName>
    <definedName name="YESNO">עזר!$B$100:$B$101</definedName>
  </definedNames>
  <calcPr calcId="191028"/>
</workbook>
</file>

<file path=xl/calcChain.xml><?xml version="1.0" encoding="utf-8"?>
<calcChain xmlns="http://schemas.openxmlformats.org/spreadsheetml/2006/main">
  <c r="B113" i="2" l="1"/>
  <c r="E3" i="3" s="1"/>
  <c r="B26" i="3"/>
  <c r="A6" i="3"/>
  <c r="C53" i="2"/>
  <c r="E36" i="2"/>
  <c r="A13" i="3"/>
  <c r="B70" i="2"/>
  <c r="N32" i="3" s="1"/>
  <c r="N36" i="3" s="1"/>
  <c r="E3" i="2"/>
  <c r="B106" i="2" s="1"/>
  <c r="D10" i="3" l="1"/>
  <c r="B72" i="2"/>
  <c r="D40" i="3" s="1"/>
  <c r="B56" i="2"/>
  <c r="B57" i="2" s="1"/>
  <c r="B32" i="2"/>
  <c r="E32" i="2" s="1"/>
  <c r="E11" i="2"/>
  <c r="F11" i="2" s="1"/>
  <c r="D24" i="3" s="1"/>
  <c r="D28" i="3" s="1"/>
  <c r="E8" i="2"/>
  <c r="E29" i="2" s="1"/>
  <c r="N16" i="3" s="1"/>
  <c r="N20" i="3" s="1"/>
  <c r="E6" i="2"/>
  <c r="E21" i="2" s="1"/>
  <c r="E7" i="2"/>
  <c r="E23" i="2" s="1"/>
  <c r="E26" i="2" s="1"/>
  <c r="I16" i="3" s="1"/>
  <c r="I20" i="3" s="1"/>
  <c r="D4" i="3"/>
  <c r="I43" i="2"/>
  <c r="J43" i="2" s="1"/>
  <c r="I44" i="2"/>
  <c r="J44" i="2" s="1"/>
  <c r="I45" i="2"/>
  <c r="J45" i="2" s="1"/>
  <c r="I46" i="2"/>
  <c r="J46" i="2" s="1"/>
  <c r="I42" i="2"/>
  <c r="J42" i="2" s="1"/>
  <c r="C43" i="2"/>
  <c r="C44" i="2"/>
  <c r="C45" i="2"/>
  <c r="C46" i="2"/>
  <c r="C42" i="2"/>
  <c r="D41" i="2"/>
  <c r="I41" i="2"/>
  <c r="J41" i="2" s="1"/>
  <c r="D42" i="2"/>
  <c r="D43" i="2"/>
  <c r="D44" i="2"/>
  <c r="D45" i="2"/>
  <c r="B35" i="2"/>
  <c r="C35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24" i="2"/>
  <c r="E19" i="2"/>
  <c r="E18" i="2"/>
  <c r="E16" i="2"/>
  <c r="E17" i="2" s="1"/>
  <c r="D32" i="3" s="1"/>
  <c r="D36" i="3" s="1"/>
  <c r="D44" i="3" l="1"/>
  <c r="E37" i="2"/>
  <c r="E38" i="2" s="1"/>
  <c r="C37" i="2"/>
  <c r="C38" i="2" s="1"/>
  <c r="B38" i="2" s="1"/>
  <c r="B60" i="2"/>
  <c r="B61" i="2" s="1"/>
  <c r="B62" i="2"/>
  <c r="B63" i="2" s="1"/>
  <c r="I24" i="3"/>
  <c r="B59" i="2"/>
  <c r="D16" i="3"/>
  <c r="D6" i="3" s="1"/>
  <c r="G47" i="2"/>
  <c r="G48" i="2" s="1"/>
  <c r="H41" i="2"/>
  <c r="H42" i="2" s="1"/>
  <c r="H43" i="2" s="1"/>
  <c r="H44" i="2" s="1"/>
  <c r="H45" i="2" s="1"/>
  <c r="H46" i="2" s="1"/>
  <c r="J47" i="2"/>
  <c r="E33" i="2"/>
  <c r="N10" i="3" l="1"/>
  <c r="I28" i="3"/>
  <c r="J48" i="2"/>
  <c r="J49" i="2" s="1"/>
  <c r="G49" i="2"/>
  <c r="B65" i="2"/>
  <c r="D65" i="2" s="1"/>
  <c r="D66" i="2" s="1"/>
  <c r="D20" i="3"/>
  <c r="I32" i="3" l="1"/>
  <c r="I36" i="3" s="1"/>
  <c r="B54" i="2"/>
  <c r="N24" i="3" s="1"/>
  <c r="N28" i="3" l="1"/>
  <c r="I6" i="3"/>
  <c r="N6" i="3" s="1"/>
  <c r="B107" i="2" s="1"/>
  <c r="C107" i="2" l="1"/>
  <c r="C106" i="2" l="1"/>
</calcChain>
</file>

<file path=xl/sharedStrings.xml><?xml version="1.0" encoding="utf-8"?>
<sst xmlns="http://schemas.openxmlformats.org/spreadsheetml/2006/main" count="166" uniqueCount="157">
  <si>
    <t>מקורות מידע</t>
  </si>
  <si>
    <t>נושא</t>
  </si>
  <si>
    <t>מקור</t>
  </si>
  <si>
    <t>קישור</t>
  </si>
  <si>
    <t>הקפאת מדרגות מס</t>
  </si>
  <si>
    <t>מדרגות המס</t>
  </si>
  <si>
    <t>משרד האוצר</t>
  </si>
  <si>
    <t>https://www.gov.il/BlobFolder/reports/press-income-tax-brackets/he/SalaryDataDetails_tax_bracket_2024.pdf</t>
  </si>
  <si>
    <t>עליית המע"מ</t>
  </si>
  <si>
    <t>סה"כ הוצאות בחודש</t>
  </si>
  <si>
    <t>עליית דמי ביטוח לאומי</t>
  </si>
  <si>
    <t>משכורת כשכיר</t>
  </si>
  <si>
    <t>הכנסה כעצמאי</t>
  </si>
  <si>
    <t>חלק השכר שעד 7552</t>
  </si>
  <si>
    <t>עליית דמי ביטוח לאומי (שכיר)</t>
  </si>
  <si>
    <t>עליית דמי ביטוח לאומי (עצמאי)</t>
  </si>
  <si>
    <t>עליית דמי ביטוח לאומי (בתור מעסיק)</t>
  </si>
  <si>
    <t>שיעורי עליית דמי הביטוח הלאומי</t>
  </si>
  <si>
    <t>https://www.calcalist.co.il/investing/article/rk2bmrnlkl</t>
  </si>
  <si>
    <t>ynet</t>
  </si>
  <si>
    <t>הערות</t>
  </si>
  <si>
    <t>הפרוטוקולים של ועדת העבודה והרווחה בנושא טרם פורסמו. לכן ההסתמכות על ynet.</t>
  </si>
  <si>
    <t>ארנונה</t>
  </si>
  <si>
    <t>עליית הארנונה</t>
  </si>
  <si>
    <t>https://www.gov.il/he/pages/tax?chapterIndex=9</t>
  </si>
  <si>
    <t>משרד הפנים</t>
  </si>
  <si>
    <t>תשלום חשמל (דו חודשי)</t>
  </si>
  <si>
    <t>עליית מחיר החשמל - מחושב לחודש בודד</t>
  </si>
  <si>
    <t>צריכת קווט"ש מוערכת לחודש בודד</t>
  </si>
  <si>
    <t>עליית מחיר הקווט"ש</t>
  </si>
  <si>
    <t>חברת חשמל</t>
  </si>
  <si>
    <t>https://www.iec.co.il/content/tariffs/contentpages/homeelectricitytariff</t>
  </si>
  <si>
    <t>https://www.iec.co.il/content/tariffs/contentpages/homeelectricitytariff-old</t>
  </si>
  <si>
    <t>חשמל - תעריף קודם</t>
  </si>
  <si>
    <t>חשמל -תעריף 2025</t>
  </si>
  <si>
    <t>חברת החשמל</t>
  </si>
  <si>
    <t>מים</t>
  </si>
  <si>
    <t>https://www.gov.il/he/pages/rates_general1</t>
  </si>
  <si>
    <t>רשות המים</t>
  </si>
  <si>
    <t>תשלום מים (דו חודשי)</t>
  </si>
  <si>
    <t>עליית מחיר המים לחודש בודד</t>
  </si>
  <si>
    <t>הוצאות בתור מעסיק על שכר לעובדים</t>
  </si>
  <si>
    <t>עליית מס הכנסה</t>
  </si>
  <si>
    <t>מסכום</t>
  </si>
  <si>
    <t>עד סכום</t>
  </si>
  <si>
    <t>אחוז המס למדרגה</t>
  </si>
  <si>
    <t>מס בפועל למדרגה</t>
  </si>
  <si>
    <t>מס מצטבר</t>
  </si>
  <si>
    <t>ההכנסה הממוסה במדרגה זו</t>
  </si>
  <si>
    <t>שינוי רלוונטי במדד</t>
  </si>
  <si>
    <t>שינוי במדד המחירים לצרכן</t>
  </si>
  <si>
    <t>הלמ"ס</t>
  </si>
  <si>
    <t>https://www.cbs.gov.il/he/Pages/%D7%9E%D7%97%D7%A9%D7%91%D7%95%D7%9F-%D7%94%D7%A6%D7%9E%D7%93%D7%94-%D7%9C%D7%9E%D7%93%D7%93%D7%99%D7%9D.aspx</t>
  </si>
  <si>
    <t>עד סכום - אילו היה מתעדכן</t>
  </si>
  <si>
    <t>ההכנסה הממוסה - אילו היה מוצמד</t>
  </si>
  <si>
    <t>מס שהיה נגבה אילו היה מוצמד</t>
  </si>
  <si>
    <t>סה"כ מס</t>
  </si>
  <si>
    <t>נקודות זיכוי</t>
  </si>
  <si>
    <t>שווי נקודות זיכוי</t>
  </si>
  <si>
    <t>שווי נקודות זיכוי אילו היה מוצמדות למדד</t>
  </si>
  <si>
    <t>לאחר הפחתת נקודות זיכוי</t>
  </si>
  <si>
    <t>אחוז הפרשת העובד לפנסיה</t>
  </si>
  <si>
    <t>סכום ההפרשה לפנסיה</t>
  </si>
  <si>
    <t>לאחר הפחתת זיכוי בגין הפרשה לפנסיה (45)</t>
  </si>
  <si>
    <t>מסכום - אילו היה מתעדכן</t>
  </si>
  <si>
    <t xml:space="preserve">עליית מס הכנסה </t>
  </si>
  <si>
    <t>נתונים</t>
  </si>
  <si>
    <t>חשמל (דו חודשי)</t>
  </si>
  <si>
    <t>מים (דו חודשי)</t>
  </si>
  <si>
    <t>סה"כ ההוצאות החודשיות</t>
  </si>
  <si>
    <t>מין</t>
  </si>
  <si>
    <t>פירוט תוספת מיסים חודשית</t>
  </si>
  <si>
    <t>כמות ילדים שנולדו לך בשנה האחרונה</t>
  </si>
  <si>
    <t>כמות ילדים בין גיל 1-5</t>
  </si>
  <si>
    <t>כמות ילדים בין גיל 6-17</t>
  </si>
  <si>
    <t>כמות ילדים בני גיל 18</t>
  </si>
  <si>
    <t>נקבה</t>
  </si>
  <si>
    <t>כמות הילדים מתחת לגיל 18</t>
  </si>
  <si>
    <t>הפסד חודשי בגין הקפאת חיסכון לכל ילד</t>
  </si>
  <si>
    <t>הקפאת חיסכון לכל ילד</t>
  </si>
  <si>
    <t>https://www.ynet.co.il/economy/article/sy0076jepje</t>
  </si>
  <si>
    <t>כנסת ישראל</t>
  </si>
  <si>
    <t>https://m.knesset.gov.il/activity/plenum/pages/plenumallprotocols.aspx</t>
  </si>
  <si>
    <t>פרוטוקול 13.1.2025</t>
  </si>
  <si>
    <t xml:space="preserve"> </t>
  </si>
  <si>
    <t>במידה ויש לך ילדים</t>
  </si>
  <si>
    <t>זכר</t>
  </si>
  <si>
    <t>נתוני גרף</t>
  </si>
  <si>
    <t>סך הכנסות</t>
  </si>
  <si>
    <t>סך מיסים חדשים</t>
  </si>
  <si>
    <t>בשקלים</t>
  </si>
  <si>
    <t>באחוזים</t>
  </si>
  <si>
    <t>התוספת בארנונה</t>
  </si>
  <si>
    <t>התוספת בחשמל</t>
  </si>
  <si>
    <t>התוספת במים</t>
  </si>
  <si>
    <t>התוספת בקניות</t>
  </si>
  <si>
    <t>ההפסד בחיסכון החודשי לילדים</t>
  </si>
  <si>
    <t>תותח אקסל</t>
  </si>
  <si>
    <t xml:space="preserve">צריך אקסל לעסק ? </t>
  </si>
  <si>
    <t>צור קשר</t>
  </si>
  <si>
    <t>הוזנו התאריכים 1.1.2024 עד 1.1.2025. כלומר השוואה בין מדדי נובמבר 2023 לעומת נובמבר 2024.</t>
  </si>
  <si>
    <t>התוספת בביטוח לאומי</t>
  </si>
  <si>
    <t>הקפאת קצבאות ילדים (עדין לא אושר)</t>
  </si>
  <si>
    <t>https://www.btl.gov.il/About/newspapers/Pages/GovaKizbeot2025.aspx</t>
  </si>
  <si>
    <t>ביטוח לאומי</t>
  </si>
  <si>
    <t>קצבת ילדים ילד ראשון</t>
  </si>
  <si>
    <t>כמות ילדים בין 2-4</t>
  </si>
  <si>
    <t>קצבת ילדים עבור ילדים 2-4</t>
  </si>
  <si>
    <t>כמות ילדים מעל 4 ילדים</t>
  </si>
  <si>
    <t>קצבת ילדים לילד החמישי ואילך</t>
  </si>
  <si>
    <t>סה"כ קצבת ילדים</t>
  </si>
  <si>
    <t>אילו הייתה מוצמדת</t>
  </si>
  <si>
    <t>הפסד בגין הקפאה</t>
  </si>
  <si>
    <t>ההפסד בקצבאות ילדים</t>
  </si>
  <si>
    <t>בניית המחשבון:</t>
  </si>
  <si>
    <t>תחבורה ציבורית</t>
  </si>
  <si>
    <t>עליה בתחבורה ציבורית - מתוכנן מחודש אפריל</t>
  </si>
  <si>
    <t>סך העליה בשקלים</t>
  </si>
  <si>
    <t>התוספת בתחבורה ציבורית</t>
  </si>
  <si>
    <t>כאן</t>
  </si>
  <si>
    <t>https://www.kan.org.il/content/kan-news/economic/837259/</t>
  </si>
  <si>
    <t>לא נמצא מקור רישמי לנושא</t>
  </si>
  <si>
    <t>כן</t>
  </si>
  <si>
    <t>לא</t>
  </si>
  <si>
    <t>הפסד מדמי הבראה של יום אחד</t>
  </si>
  <si>
    <t>הפסד דמי הבראה</t>
  </si>
  <si>
    <t>גירסה נוכחית</t>
  </si>
  <si>
    <t>גירסה עדכנית שקיימת</t>
  </si>
  <si>
    <t>שנתי</t>
  </si>
  <si>
    <t>התקרה שעליה מותר לקבל זיכוי ממס - בשנה</t>
  </si>
  <si>
    <t>זיכוי בפועל בגיל הפרשה לפנסיה - ברמה חודשית</t>
  </si>
  <si>
    <t>הסכום השנתי שעליו יבוצע זיכוי המס בפועל (אחרי התחשבות בתקרה)</t>
  </si>
  <si>
    <t>אילו ההטבה הייתה מוצמדת למדד (שנתי)</t>
  </si>
  <si>
    <t>האם עובד במגזר הציבורי ?</t>
  </si>
  <si>
    <t>ט.ל.ח.</t>
  </si>
  <si>
    <t>הפרשות פנסיוניות ברמת העובד</t>
  </si>
  <si>
    <t>הפחתת יום הבראה</t>
  </si>
  <si>
    <t>https://www.gov.il/he/pages/press_19112024</t>
  </si>
  <si>
    <t>אין קרן השתלמות או תוספות נוספות לשכר</t>
  </si>
  <si>
    <t>הנחות שבוצעו לצורך פשטות</t>
  </si>
  <si>
    <t>הפרשות פנסיוניות מופרשות מכל השכר.</t>
  </si>
  <si>
    <t>השכר החודשי שווה לאורך כל השנה.</t>
  </si>
  <si>
    <t>יש לרשום סך כל ההוצאות, אך ללא הסעיפים הבאים: פירות וירקות, מים, חשמל, ארנונה, הלוואות וביטוחים.</t>
  </si>
  <si>
    <t>רוצה ליצור דוחות ותרשימים מתקדמים בעזרת Excel?</t>
  </si>
  <si>
    <t>חישוב מס ההכנסה וביטוח לאומי - חושב עבור שכירים</t>
  </si>
  <si>
    <t>שירות של מומחה Excel יכול להציע לך פתרונות מותאמים לצרכים שלך.</t>
  </si>
  <si>
    <t>הפסד בגלל הקפאת מס הכנסה</t>
  </si>
  <si>
    <t>סה"כ הפסד שנתי</t>
  </si>
  <si>
    <t>העלאות מיסים - חודשי</t>
  </si>
  <si>
    <t>הפסד אי הצמדה  - חודשי</t>
  </si>
  <si>
    <t>מורכב מכל העלאות המיסים וההפסד בגין אי הצמדה.</t>
  </si>
  <si>
    <t>אחוז ההפסד החודשי מתוך ההכנסה שלך.</t>
  </si>
  <si>
    <t>מופץ ברישיון Apache 2.</t>
  </si>
  <si>
    <t>העלאת המע"מ</t>
  </si>
  <si>
    <t>רשות המיסים</t>
  </si>
  <si>
    <t>https://www.gov.il/BlobFolder/dynamiccollectorresultitem/represent-info-051224-2/he/vat_represent-info-051224-2.pdf</t>
  </si>
  <si>
    <t>איך משפיעות עליך העלאות המיסים של 2025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</si>
</sst>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₪-40D]\ #,##0.00"/>
    <numFmt numFmtId="165" formatCode="&quot;₪&quot;\ #,##0.00"/>
    <numFmt numFmtId="166" formatCode="0.0%"/>
    <numFmt numFmtId="167" formatCode="#,##0.00\-\ [$₪-40D]"/>
  </numFmts>
  <fonts count="19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rgb="FF3F3F3F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20"/>
      <color theme="0"/>
      <name val="Tahoma"/>
      <family val="2"/>
    </font>
    <font>
      <sz val="20"/>
      <color theme="0"/>
      <name val="Tahoma"/>
      <family val="2"/>
    </font>
    <font>
      <sz val="11"/>
      <color theme="1"/>
      <name val="Tahoma"/>
      <family val="2"/>
    </font>
    <font>
      <sz val="11"/>
      <color theme="3" tint="0.24994659260841701"/>
      <name val="Tahoma"/>
      <family val="2"/>
    </font>
    <font>
      <sz val="11"/>
      <color theme="2" tint="-0.499984740745262"/>
      <name val="Arial"/>
      <family val="2"/>
      <scheme val="minor"/>
    </font>
    <font>
      <sz val="8"/>
      <color theme="2" tint="-0.499984740745262"/>
      <name val="Arial"/>
      <family val="2"/>
      <scheme val="minor"/>
    </font>
    <font>
      <b/>
      <sz val="20"/>
      <color theme="2" tint="-0.499984740745262"/>
      <name val="Tahoma"/>
      <family val="2"/>
      <charset val="177"/>
    </font>
    <font>
      <b/>
      <sz val="20"/>
      <color theme="1"/>
      <name val="Arial"/>
      <family val="2"/>
      <charset val="177"/>
      <scheme val="minor"/>
    </font>
    <font>
      <sz val="11"/>
      <color theme="3"/>
      <name val="Tahoma"/>
      <family val="2"/>
    </font>
    <font>
      <b/>
      <sz val="30"/>
      <color theme="0"/>
      <name val="Tahoma"/>
      <family val="2"/>
    </font>
    <font>
      <b/>
      <sz val="26"/>
      <color theme="0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u/>
      <sz val="11"/>
      <color theme="10"/>
      <name val="Tahoma"/>
      <family val="2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2" tint="-0.499984740745262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0" borderId="0">
      <alignment horizontal="right" vertical="center" wrapText="1"/>
    </xf>
    <xf numFmtId="0" fontId="12" fillId="0" borderId="3" applyNumberFormat="0" applyFill="0" applyAlignment="0">
      <alignment horizontal="center" vertical="center"/>
    </xf>
    <xf numFmtId="0" fontId="13" fillId="5" borderId="0">
      <alignment horizontal="center" vertical="center"/>
    </xf>
  </cellStyleXfs>
  <cellXfs count="57">
    <xf numFmtId="0" fontId="0" fillId="0" borderId="0" xfId="0"/>
    <xf numFmtId="0" fontId="1" fillId="0" borderId="0" xfId="1"/>
    <xf numFmtId="9" fontId="0" fillId="0" borderId="0" xfId="0" applyNumberFormat="1"/>
    <xf numFmtId="0" fontId="0" fillId="0" borderId="0" xfId="0" applyAlignment="1">
      <alignment horizontal="right" readingOrder="2"/>
    </xf>
    <xf numFmtId="10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64" fontId="0" fillId="3" borderId="0" xfId="0" applyNumberFormat="1" applyFill="1"/>
    <xf numFmtId="0" fontId="4" fillId="4" borderId="1" xfId="2" applyFont="1" applyFill="1"/>
    <xf numFmtId="0" fontId="5" fillId="4" borderId="0" xfId="0" applyFont="1" applyFill="1"/>
    <xf numFmtId="0" fontId="6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8" fillId="0" borderId="2" xfId="5" applyFont="1" applyBorder="1" applyAlignment="1">
      <alignment vertical="center" wrapText="1" readingOrder="2"/>
    </xf>
    <xf numFmtId="0" fontId="8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vertical="center" readingOrder="1"/>
    </xf>
    <xf numFmtId="165" fontId="8" fillId="0" borderId="0" xfId="0" applyNumberFormat="1" applyFont="1" applyAlignment="1">
      <alignment vertical="center" readingOrder="1"/>
    </xf>
    <xf numFmtId="1" fontId="8" fillId="0" borderId="2" xfId="0" applyNumberFormat="1" applyFont="1" applyBorder="1" applyAlignment="1">
      <alignment vertical="center" readingOrder="1"/>
    </xf>
    <xf numFmtId="0" fontId="10" fillId="0" borderId="0" xfId="0" applyFont="1"/>
    <xf numFmtId="0" fontId="11" fillId="0" borderId="0" xfId="0" applyFont="1"/>
    <xf numFmtId="0" fontId="0" fillId="0" borderId="4" xfId="0" applyBorder="1" applyAlignment="1">
      <alignment vertical="center"/>
    </xf>
    <xf numFmtId="0" fontId="6" fillId="0" borderId="0" xfId="0" applyFont="1" applyAlignment="1">
      <alignment vertical="center"/>
    </xf>
    <xf numFmtId="2" fontId="0" fillId="0" borderId="0" xfId="0" applyNumberFormat="1"/>
    <xf numFmtId="166" fontId="0" fillId="0" borderId="0" xfId="4" applyNumberFormat="1" applyFont="1"/>
    <xf numFmtId="0" fontId="0" fillId="0" borderId="4" xfId="0" applyBorder="1"/>
    <xf numFmtId="0" fontId="1" fillId="0" borderId="0" xfId="3"/>
    <xf numFmtId="0" fontId="0" fillId="0" borderId="0" xfId="0" applyAlignment="1">
      <alignment horizontal="right"/>
    </xf>
    <xf numFmtId="0" fontId="17" fillId="0" borderId="0" xfId="3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2" xfId="5" applyFont="1" applyBorder="1" applyAlignment="1">
      <alignment horizontal="right" vertical="center" wrapText="1" readingOrder="2"/>
    </xf>
    <xf numFmtId="14" fontId="6" fillId="0" borderId="0" xfId="0" applyNumberFormat="1" applyFont="1"/>
    <xf numFmtId="14" fontId="18" fillId="0" borderId="0" xfId="0" applyNumberFormat="1" applyFont="1"/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8" fillId="0" borderId="0" xfId="5" applyFont="1" applyAlignment="1">
      <alignment vertical="center" wrapText="1" readingOrder="2"/>
    </xf>
    <xf numFmtId="1" fontId="8" fillId="0" borderId="0" xfId="0" applyNumberFormat="1" applyFont="1" applyAlignment="1">
      <alignment vertical="center" readingOrder="1"/>
    </xf>
    <xf numFmtId="0" fontId="15" fillId="0" borderId="0" xfId="0" applyFont="1"/>
    <xf numFmtId="0" fontId="0" fillId="0" borderId="5" xfId="0" applyBorder="1"/>
    <xf numFmtId="0" fontId="8" fillId="0" borderId="5" xfId="5" applyFont="1" applyBorder="1" applyAlignment="1">
      <alignment vertical="center" wrapText="1" readingOrder="2"/>
    </xf>
    <xf numFmtId="0" fontId="15" fillId="0" borderId="0" xfId="0" applyFont="1" applyAlignment="1">
      <alignment vertical="center" wrapText="1"/>
    </xf>
    <xf numFmtId="0" fontId="1" fillId="0" borderId="0" xfId="3" applyAlignment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4" fillId="8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/>
    </xf>
    <xf numFmtId="167" fontId="14" fillId="6" borderId="0" xfId="0" applyNumberFormat="1" applyFont="1" applyFill="1" applyAlignment="1">
      <alignment horizontal="center" vertical="center" readingOrder="2"/>
    </xf>
    <xf numFmtId="0" fontId="9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14" fillId="7" borderId="0" xfId="0" applyNumberFormat="1" applyFont="1" applyFill="1" applyAlignment="1">
      <alignment horizontal="center" vertical="center"/>
    </xf>
    <xf numFmtId="167" fontId="14" fillId="7" borderId="0" xfId="0" applyNumberFormat="1" applyFont="1" applyFill="1" applyAlignment="1">
      <alignment horizontal="center" vertical="center" readingOrder="2"/>
    </xf>
  </cellXfs>
  <cellStyles count="8">
    <cellStyle name="Days_On_Leave" xfId="7" xr:uid="{5206E576-BD70-417C-96CC-FCC4A86CC362}"/>
    <cellStyle name="Hyperlink" xfId="1" xr:uid="{00000000-000B-0000-0000-000008000000}"/>
    <cellStyle name="Normal" xfId="0" builtinId="0"/>
    <cellStyle name="Percent" xfId="4" builtinId="5"/>
    <cellStyle name="גבול שמאלי" xfId="6" xr:uid="{9B21D287-C651-423A-9175-37C0C87D583C}"/>
    <cellStyle name="היפר-קישור" xfId="3" builtinId="8"/>
    <cellStyle name="פלט" xfId="2" builtinId="21"/>
    <cellStyle name="פריט" xfId="5" xr:uid="{7428A3A6-F413-4737-85C3-0F2B1D81AA6E}"/>
  </cellStyles>
  <dxfs count="1">
    <dxf>
      <font>
        <u/>
        <color rgb="FF00206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36384E"/>
      <color rgb="FF4DA95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CE-46F9-B287-41B6D65E61A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CE-46F9-B287-41B6D65E61A2}"/>
              </c:ext>
            </c:extLst>
          </c:dPt>
          <c:val>
            <c:numRef>
              <c:f>עזר!$C$106:$C$107</c:f>
              <c:numCache>
                <c:formatCode>0.0%</c:formatCode>
                <c:ptCount val="2"/>
                <c:pt idx="0">
                  <c:v>0.98071914279090522</c:v>
                </c:pt>
                <c:pt idx="1">
                  <c:v>1.9280857209094775E-2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E-46F9-B287-41B6D65E6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38099</xdr:colOff>
      <xdr:row>6</xdr:row>
      <xdr:rowOff>266700</xdr:rowOff>
    </xdr:from>
    <xdr:to>
      <xdr:col>22</xdr:col>
      <xdr:colOff>647700</xdr:colOff>
      <xdr:row>16</xdr:row>
      <xdr:rowOff>342900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DE81225A-D2DD-44D9-92AE-EBBE09C14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0.29717</cdr:x>
      <cdr:y>0.3544</cdr:y>
    </cdr:from>
    <cdr:to>
      <cdr:x>0.72641</cdr:x>
      <cdr:y>0.61561</cdr:y>
    </cdr:to>
    <cdr:sp macro="" textlink="עזר!$C$107">
      <cdr:nvSpPr>
        <cdr:cNvPr id="2" name="מלבן 1">
          <a:extLst xmlns:a="http://schemas.openxmlformats.org/drawingml/2006/main">
            <a:ext uri="{FF2B5EF4-FFF2-40B4-BE49-F238E27FC236}">
              <a16:creationId xmlns:a16="http://schemas.microsoft.com/office/drawing/2014/main" id="{BCE36CC2-E4E1-8637-336A-F533C8202850}"/>
            </a:ext>
          </a:extLst>
        </cdr:cNvPr>
        <cdr:cNvSpPr/>
      </cdr:nvSpPr>
      <cdr:spPr>
        <a:xfrm xmlns:a="http://schemas.openxmlformats.org/drawingml/2006/main">
          <a:off x="1200150" y="1228725"/>
          <a:ext cx="1733550" cy="905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C00DF0F5-A928-4BA7-94DE-19796BC348F8}" type="TxLink">
            <a:rPr lang="en-US" sz="4000" b="1" i="0" u="none" strike="noStrike" kern="1200">
              <a:solidFill>
                <a:schemeClr val="bg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pPr algn="ctr"/>
            <a:t>1.9%</a:t>
          </a:fld>
          <a:endParaRPr lang="en-US" sz="4000" b="1" kern="1200">
            <a:solidFill>
              <a:schemeClr val="bg2">
                <a:lumMod val="50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cel.kova.co.il/2014/09/%D7%A6%D7%95%D7%A8-%D7%A7%D7%A9%D7%A8-050-523-55-85/" TargetMode="External"/><Relationship Id="rId2" Type="http://schemas.openxmlformats.org/officeDocument/2006/relationships/hyperlink" Target="https://excel.kova.co.il/2014/09/%D7%A6%D7%95%D7%A8-%D7%A7%D7%A9%D7%A8-050-523-55-85/" TargetMode="External"/><Relationship Id="rId1" Type="http://schemas.openxmlformats.org/officeDocument/2006/relationships/hyperlink" Target="https://excel.kova.co.i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ldrlegal.com/license/apache-license-2-0-apache-2-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net.co.il/economy/article/sy0076jepje" TargetMode="External"/><Relationship Id="rId13" Type="http://schemas.openxmlformats.org/officeDocument/2006/relationships/hyperlink" Target="https://www.gov.il/BlobFolder/dynamiccollectorresultitem/represent-info-051224-2/he/vat_represent-info-051224-2.pdf" TargetMode="External"/><Relationship Id="rId3" Type="http://schemas.openxmlformats.org/officeDocument/2006/relationships/hyperlink" Target="https://www.gov.il/he/pages/tax?chapterIndex=9" TargetMode="External"/><Relationship Id="rId7" Type="http://schemas.openxmlformats.org/officeDocument/2006/relationships/hyperlink" Target="https://www.cbs.gov.il/he/Pages/%D7%9E%D7%97%D7%A9%D7%91%D7%95%D7%9F-%D7%94%D7%A6%D7%9E%D7%93%D7%94-%D7%9C%D7%9E%D7%93%D7%93%D7%99%D7%9D.aspx" TargetMode="External"/><Relationship Id="rId12" Type="http://schemas.openxmlformats.org/officeDocument/2006/relationships/hyperlink" Target="https://www.gov.il/he/pages/press_19112024" TargetMode="External"/><Relationship Id="rId2" Type="http://schemas.openxmlformats.org/officeDocument/2006/relationships/hyperlink" Target="https://www.calcalist.co.il/investing/article/rk2bmrnlkl" TargetMode="External"/><Relationship Id="rId1" Type="http://schemas.openxmlformats.org/officeDocument/2006/relationships/hyperlink" Target="https://www.gov.il/BlobFolder/reports/press-income-tax-brackets/he/SalaryDataDetails_tax_bracket_2024.pdf" TargetMode="External"/><Relationship Id="rId6" Type="http://schemas.openxmlformats.org/officeDocument/2006/relationships/hyperlink" Target="https://www.gov.il/he/pages/rates_general1" TargetMode="External"/><Relationship Id="rId11" Type="http://schemas.openxmlformats.org/officeDocument/2006/relationships/hyperlink" Target="https://www.kan.org.il/content/kan-news/economic/837259/" TargetMode="External"/><Relationship Id="rId5" Type="http://schemas.openxmlformats.org/officeDocument/2006/relationships/hyperlink" Target="https://www.iec.co.il/content/tariffs/contentpages/homeelectricitytariff-old" TargetMode="External"/><Relationship Id="rId10" Type="http://schemas.openxmlformats.org/officeDocument/2006/relationships/hyperlink" Target="https://www.btl.gov.il/About/newspapers/Pages/GovaKizbeot2025.aspx" TargetMode="External"/><Relationship Id="rId4" Type="http://schemas.openxmlformats.org/officeDocument/2006/relationships/hyperlink" Target="https://www.iec.co.il/content/tariffs/contentpages/homeelectricitytariff" TargetMode="External"/><Relationship Id="rId9" Type="http://schemas.openxmlformats.org/officeDocument/2006/relationships/hyperlink" Target="https://m.knesset.gov.il/activity/plenum/pages/plenumallprotocol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73FD-BA02-A843-9A4E-917992A635BA}">
  <dimension ref="A1:Z66"/>
  <sheetViews>
    <sheetView showGridLines="0" rightToLeft="1" tabSelected="1" zoomScaleNormal="100" zoomScaleSheetLayoutView="100" workbookViewId="0">
      <selection activeCell="A2" sqref="A2"/>
    </sheetView>
  </sheetViews>
  <sheetFormatPr defaultRowHeight="14.25" x14ac:dyDescent="0.2"/>
  <cols>
    <col min="1" max="1" width="25.375" customWidth="1"/>
    <col min="2" max="2" width="10.875" bestFit="1" customWidth="1"/>
    <col min="7" max="7" width="7.5" customWidth="1"/>
    <col min="15" max="17" width="9" customWidth="1"/>
  </cols>
  <sheetData>
    <row r="1" spans="1:26" ht="25.5" x14ac:dyDescent="0.35">
      <c r="A1" s="8" t="s">
        <v>156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3" spans="1:26" x14ac:dyDescent="0.2">
      <c r="E3" t="str">
        <f>IF(VER&lt;_xlfn.NUMBERVALUE(LATEST),HYPERLINK("https://excel.kova.co.il/files/2025tax.xlsx","קיימת גירסה חדשה למחשבון, לחץ כאן להורדה"),"")</f>
        <v/>
      </c>
      <c r="O3" s="10"/>
      <c r="Q3" s="10"/>
      <c r="T3" s="54" t="s">
        <v>114</v>
      </c>
      <c r="U3" s="54"/>
      <c r="V3" s="28" t="s">
        <v>97</v>
      </c>
      <c r="W3" s="27"/>
    </row>
    <row r="4" spans="1:26" ht="32.1" customHeight="1" x14ac:dyDescent="0.4">
      <c r="A4" s="19" t="s">
        <v>66</v>
      </c>
      <c r="B4" s="20"/>
      <c r="D4" s="19" t="str">
        <f>IF(OR(B5="זכר",B5=""),"כמה תשלם יותר ?","כמה תשלמי יותר ?")</f>
        <v>כמה תשלם יותר ?</v>
      </c>
      <c r="E4" s="19"/>
      <c r="F4" s="19"/>
      <c r="G4" s="19"/>
      <c r="H4" s="20"/>
      <c r="O4" s="10"/>
      <c r="P4" s="31"/>
      <c r="Q4" s="32"/>
      <c r="U4" s="29" t="s">
        <v>98</v>
      </c>
      <c r="V4" s="28" t="s">
        <v>99</v>
      </c>
      <c r="W4" s="27"/>
    </row>
    <row r="5" spans="1:26" s="12" customFormat="1" ht="27.95" customHeight="1" x14ac:dyDescent="0.2">
      <c r="A5" s="14" t="s">
        <v>70</v>
      </c>
      <c r="B5" s="15" t="s">
        <v>86</v>
      </c>
      <c r="C5" s="11"/>
      <c r="D5" s="44" t="s">
        <v>148</v>
      </c>
      <c r="E5" s="44"/>
      <c r="F5" s="44"/>
      <c r="I5" s="44" t="s">
        <v>149</v>
      </c>
      <c r="J5" s="44"/>
      <c r="K5" s="44"/>
      <c r="N5" s="44" t="s">
        <v>147</v>
      </c>
      <c r="O5" s="44"/>
      <c r="P5" s="44"/>
      <c r="R5" s="22"/>
      <c r="T5" s="12" t="s">
        <v>134</v>
      </c>
      <c r="V5" s="42" t="s">
        <v>152</v>
      </c>
    </row>
    <row r="6" spans="1:26" s="12" customFormat="1" ht="27.95" customHeight="1" x14ac:dyDescent="0.2">
      <c r="A6" s="30" t="str">
        <f>"משכורת בתור "&amp; IF(B5="נקבה","שכירה","שכיר")</f>
        <v>משכורת בתור שכיר</v>
      </c>
      <c r="B6" s="16">
        <v>20000</v>
      </c>
      <c r="C6" s="11"/>
      <c r="D6" s="45">
        <f>SUM(D16,I16,N16,D24,D32)</f>
        <v>206.66916699978296</v>
      </c>
      <c r="E6" s="45"/>
      <c r="F6" s="45"/>
      <c r="G6" s="21"/>
      <c r="H6"/>
      <c r="I6" s="45">
        <f>SUM(N24)</f>
        <v>134.55894499999931</v>
      </c>
      <c r="J6" s="45"/>
      <c r="K6" s="45"/>
      <c r="L6" s="21"/>
      <c r="M6"/>
      <c r="N6" s="45">
        <f>SUM(I6,D6,I24,I32)*12+D40</f>
        <v>4718.3801439973877</v>
      </c>
      <c r="O6" s="45"/>
      <c r="P6" s="45"/>
      <c r="Q6" s="21"/>
      <c r="R6" s="22" t="s">
        <v>151</v>
      </c>
    </row>
    <row r="7" spans="1:26" s="12" customFormat="1" ht="27.95" customHeight="1" x14ac:dyDescent="0.2">
      <c r="A7" s="14" t="s">
        <v>22</v>
      </c>
      <c r="B7" s="16">
        <v>600</v>
      </c>
      <c r="C7" s="11"/>
      <c r="D7" s="45"/>
      <c r="E7" s="45"/>
      <c r="F7" s="45"/>
      <c r="G7" s="25"/>
      <c r="H7"/>
      <c r="I7" s="45"/>
      <c r="J7" s="45"/>
      <c r="K7" s="45"/>
      <c r="L7" s="25"/>
      <c r="M7"/>
      <c r="N7" s="45"/>
      <c r="O7" s="45"/>
      <c r="P7" s="45"/>
      <c r="Q7" s="21"/>
      <c r="R7" s="22" t="s">
        <v>150</v>
      </c>
      <c r="S7" s="22"/>
      <c r="T7" s="22"/>
      <c r="U7" s="22"/>
    </row>
    <row r="8" spans="1:26" s="12" customFormat="1" ht="27.95" customHeight="1" x14ac:dyDescent="0.2">
      <c r="A8" s="14" t="s">
        <v>67</v>
      </c>
      <c r="B8" s="16">
        <v>1400</v>
      </c>
      <c r="C8" s="11"/>
      <c r="D8" s="45"/>
      <c r="E8" s="45"/>
      <c r="F8" s="45"/>
      <c r="G8" s="21"/>
      <c r="H8"/>
      <c r="I8" s="45"/>
      <c r="J8" s="45"/>
      <c r="K8" s="45"/>
      <c r="L8" s="21"/>
      <c r="M8"/>
      <c r="N8" s="45"/>
      <c r="O8" s="45"/>
      <c r="P8" s="45"/>
      <c r="Q8" s="21"/>
      <c r="R8"/>
    </row>
    <row r="9" spans="1:26" s="12" customFormat="1" ht="27.95" customHeight="1" x14ac:dyDescent="0.2">
      <c r="A9" s="14" t="s">
        <v>68</v>
      </c>
      <c r="B9" s="16">
        <v>700</v>
      </c>
      <c r="C9" s="11"/>
      <c r="D9" s="45"/>
      <c r="E9" s="45"/>
      <c r="F9" s="45"/>
      <c r="G9" s="25"/>
      <c r="H9" s="41"/>
      <c r="I9" s="45"/>
      <c r="J9" s="45"/>
      <c r="K9" s="45"/>
      <c r="L9" s="25"/>
      <c r="N9" s="45"/>
      <c r="O9" s="45"/>
      <c r="P9" s="45"/>
      <c r="Q9" s="21"/>
    </row>
    <row r="10" spans="1:26" s="12" customFormat="1" ht="27.95" customHeight="1" x14ac:dyDescent="0.2">
      <c r="A10" s="14" t="s">
        <v>69</v>
      </c>
      <c r="B10" s="16">
        <v>10000</v>
      </c>
      <c r="C10" s="11"/>
      <c r="D10" s="43" t="str">
        <f>IF(עזר!B70&gt;0,"ומחודש אפריל ההעלאה צפויה לגדול בעוד- "&amp;ROUND(עזר!B70,0) &amp; " ₪ בגלל העלאת תעריפי התחבורה הציבורית","")</f>
        <v>ומחודש אפריל ההעלאה צפויה לגדול בעוד- 78 ₪ בגלל העלאת תעריפי התחבורה הציבורית</v>
      </c>
      <c r="E10" s="43"/>
      <c r="F10" s="43"/>
      <c r="H10" s="34"/>
      <c r="I10" s="34"/>
      <c r="J10" s="34"/>
      <c r="N10" s="43" t="str">
        <f>IF(D40&gt;0,"כולל גם הפסד של יום הבראה אחד","")&amp; IF(I24&gt;0,"וגם את ההפסד בקיצבאות ובחסכון לילדים","")</f>
        <v>כולל גם הפסד של יום הבראה אחדוגם את ההפסד בקיצבאות ובחסכון לילדים</v>
      </c>
      <c r="O10" s="43"/>
      <c r="P10" s="43"/>
      <c r="Q10" s="21"/>
    </row>
    <row r="11" spans="1:26" s="12" customFormat="1" ht="27.95" customHeight="1" x14ac:dyDescent="0.2">
      <c r="A11" s="52" t="s">
        <v>142</v>
      </c>
      <c r="B11" s="52"/>
      <c r="C11" s="11" t="s">
        <v>84</v>
      </c>
      <c r="Q11" s="21"/>
    </row>
    <row r="12" spans="1:26" s="12" customFormat="1" ht="27.95" customHeight="1" x14ac:dyDescent="0.2">
      <c r="A12" s="14" t="s">
        <v>115</v>
      </c>
      <c r="B12" s="16">
        <v>235</v>
      </c>
      <c r="C12" s="11"/>
      <c r="D12"/>
      <c r="E12"/>
      <c r="F12"/>
      <c r="G12"/>
      <c r="H12"/>
      <c r="I12"/>
      <c r="J12"/>
      <c r="K12"/>
      <c r="L12"/>
      <c r="N12"/>
      <c r="O12"/>
      <c r="P12"/>
      <c r="Q12" s="25"/>
    </row>
    <row r="13" spans="1:26" s="12" customFormat="1" ht="27.95" customHeight="1" x14ac:dyDescent="0.35">
      <c r="A13" s="30" t="str">
        <f>IF(B5="זכר","עובד לפחות שנה במקום העבודה הנוכחי?","עובדת לפחות שנה במקום העבודה הנוכחי?")</f>
        <v>עובד לפחות שנה במקום העבודה הנוכחי?</v>
      </c>
      <c r="B13" s="16" t="s">
        <v>122</v>
      </c>
      <c r="C13" s="11"/>
      <c r="D13" s="19" t="s">
        <v>71</v>
      </c>
      <c r="E13" s="19"/>
      <c r="F13" s="19"/>
      <c r="G13" s="19"/>
      <c r="H13" s="19"/>
      <c r="I13" s="19"/>
      <c r="J13" s="19"/>
      <c r="K13" s="19"/>
      <c r="L13" s="19"/>
      <c r="Q13" s="25"/>
    </row>
    <row r="14" spans="1:26" s="12" customFormat="1" ht="27.95" customHeight="1" x14ac:dyDescent="0.2">
      <c r="A14" s="11" t="s">
        <v>133</v>
      </c>
      <c r="B14" s="17" t="s">
        <v>123</v>
      </c>
      <c r="C14" s="11"/>
      <c r="D14" s="46" t="s">
        <v>92</v>
      </c>
      <c r="E14" s="46"/>
      <c r="F14" s="46"/>
      <c r="G14" s="21"/>
      <c r="H14"/>
      <c r="I14" s="46" t="s">
        <v>93</v>
      </c>
      <c r="J14" s="46"/>
      <c r="K14" s="46"/>
      <c r="L14" s="21"/>
      <c r="M14"/>
      <c r="N14" s="46" t="s">
        <v>94</v>
      </c>
      <c r="O14" s="46"/>
      <c r="P14" s="46"/>
      <c r="Q14" s="25"/>
    </row>
    <row r="15" spans="1:26" s="12" customFormat="1" ht="27.95" customHeight="1" x14ac:dyDescent="0.2">
      <c r="A15" s="14" t="s">
        <v>85</v>
      </c>
      <c r="B15" s="16"/>
      <c r="C15" s="11"/>
      <c r="D15" s="46"/>
      <c r="E15" s="46"/>
      <c r="F15" s="46"/>
      <c r="G15" s="25"/>
      <c r="H15"/>
      <c r="I15" s="46"/>
      <c r="J15" s="46"/>
      <c r="K15" s="46"/>
      <c r="L15" s="25"/>
      <c r="M15"/>
      <c r="N15" s="46"/>
      <c r="O15" s="46"/>
      <c r="P15" s="46"/>
      <c r="Q15" s="25"/>
    </row>
    <row r="16" spans="1:26" s="12" customFormat="1" ht="27.95" customHeight="1" x14ac:dyDescent="0.2">
      <c r="A16" s="14" t="s">
        <v>72</v>
      </c>
      <c r="B16" s="18">
        <v>0</v>
      </c>
      <c r="C16" s="11"/>
      <c r="D16" s="48">
        <f>עזר!E21</f>
        <v>31.740000000000002</v>
      </c>
      <c r="E16" s="48"/>
      <c r="F16" s="48"/>
      <c r="G16" s="25"/>
      <c r="H16"/>
      <c r="I16" s="48">
        <f>עזר!E26</f>
        <v>31.3262815296989</v>
      </c>
      <c r="J16" s="48"/>
      <c r="K16" s="48"/>
      <c r="L16" s="25"/>
      <c r="M16"/>
      <c r="N16" s="48">
        <f>עזר!E29</f>
        <v>9.7999999999999989</v>
      </c>
      <c r="O16" s="48"/>
      <c r="P16" s="48"/>
      <c r="Q16" s="25"/>
    </row>
    <row r="17" spans="1:23" s="12" customFormat="1" ht="27.95" customHeight="1" x14ac:dyDescent="0.2">
      <c r="A17" s="14" t="s">
        <v>73</v>
      </c>
      <c r="B17" s="18">
        <v>0</v>
      </c>
      <c r="C17" s="11"/>
      <c r="D17" s="48"/>
      <c r="E17" s="48"/>
      <c r="F17" s="48"/>
      <c r="G17" s="25"/>
      <c r="H17"/>
      <c r="I17" s="48"/>
      <c r="J17" s="48"/>
      <c r="K17" s="48"/>
      <c r="L17" s="25"/>
      <c r="M17"/>
      <c r="N17" s="48"/>
      <c r="O17" s="48"/>
      <c r="P17" s="48"/>
      <c r="Q17" s="25"/>
      <c r="U17"/>
      <c r="V17"/>
    </row>
    <row r="18" spans="1:23" s="12" customFormat="1" ht="27.95" customHeight="1" x14ac:dyDescent="0.2">
      <c r="A18" s="14" t="s">
        <v>74</v>
      </c>
      <c r="B18" s="18">
        <v>2</v>
      </c>
      <c r="C18" s="11"/>
      <c r="D18" s="48"/>
      <c r="E18" s="48"/>
      <c r="F18" s="48"/>
      <c r="G18" s="25"/>
      <c r="H18"/>
      <c r="I18" s="48"/>
      <c r="J18" s="48"/>
      <c r="K18" s="48"/>
      <c r="L18" s="25"/>
      <c r="M18"/>
      <c r="N18" s="48"/>
      <c r="O18" s="48"/>
      <c r="P18" s="48"/>
      <c r="Q18" s="25"/>
    </row>
    <row r="19" spans="1:23" s="12" customFormat="1" ht="27.95" customHeight="1" x14ac:dyDescent="0.2">
      <c r="A19" s="14" t="s">
        <v>75</v>
      </c>
      <c r="B19" s="18">
        <v>0</v>
      </c>
      <c r="C19" s="11"/>
      <c r="D19" s="48"/>
      <c r="E19" s="48"/>
      <c r="F19" s="48"/>
      <c r="G19" s="25"/>
      <c r="H19"/>
      <c r="I19" s="48"/>
      <c r="J19" s="48"/>
      <c r="K19" s="48"/>
      <c r="L19" s="25"/>
      <c r="M19"/>
      <c r="N19" s="48"/>
      <c r="O19" s="48"/>
      <c r="P19" s="48"/>
      <c r="Q19" s="21"/>
      <c r="R19" s="22" t="s">
        <v>143</v>
      </c>
      <c r="S19" s="22"/>
      <c r="T19" s="22"/>
      <c r="U19" s="22"/>
      <c r="V19" s="22"/>
      <c r="W19" s="22"/>
    </row>
    <row r="20" spans="1:23" ht="27.95" customHeight="1" x14ac:dyDescent="0.2">
      <c r="A20" s="36"/>
      <c r="B20" s="37"/>
      <c r="D20" s="53" t="str">
        <f>IF(D16&gt;0,"כיוון שהארנונה עלתה ב 5.29%","")</f>
        <v>כיוון שהארנונה עלתה ב 5.29%</v>
      </c>
      <c r="E20" s="53"/>
      <c r="F20" s="53"/>
      <c r="G20" s="25"/>
      <c r="I20" s="49" t="str">
        <f>IF(I16&gt;0,"כיוון שהמחיר לקילו וואט שעה עלה ב "&amp;עזר!E24 &amp; " ₪, והצריכה שלך היא בערך " &amp; ROUND(עזר!E23,0)&amp; " קילו וואט שעה לחודש","")</f>
        <v>כיוון שהמחיר לקילו וואט שעה עלה ב 0.0275 ₪, והצריכה שלך היא בערך 1139 קילו וואט שעה לחודש</v>
      </c>
      <c r="J20" s="49"/>
      <c r="K20" s="49"/>
      <c r="L20" s="25"/>
      <c r="N20" s="53" t="str">
        <f>IF(N16&gt;0,"כיוון שהמים עלו ב 2.8%","")</f>
        <v>כיוון שהמים עלו ב 2.8%</v>
      </c>
      <c r="O20" s="53"/>
      <c r="P20" s="53"/>
      <c r="Q20" s="25"/>
      <c r="R20" s="22" t="s">
        <v>145</v>
      </c>
      <c r="S20" s="22"/>
      <c r="T20" s="22"/>
      <c r="U20" s="22"/>
      <c r="V20" s="22"/>
      <c r="W20" s="22"/>
    </row>
    <row r="21" spans="1:23" ht="27.95" customHeight="1" x14ac:dyDescent="0.2">
      <c r="G21" s="25"/>
      <c r="I21" s="49"/>
      <c r="J21" s="49"/>
      <c r="K21" s="49"/>
      <c r="L21" s="25"/>
      <c r="N21" s="53"/>
      <c r="O21" s="53"/>
      <c r="P21" s="53"/>
      <c r="Q21" s="25"/>
      <c r="R21" s="28" t="s">
        <v>99</v>
      </c>
    </row>
    <row r="22" spans="1:23" ht="27.95" customHeight="1" x14ac:dyDescent="0.2">
      <c r="D22" s="46" t="s">
        <v>95</v>
      </c>
      <c r="E22" s="46"/>
      <c r="F22" s="46"/>
      <c r="G22" s="21"/>
      <c r="I22" s="46" t="s">
        <v>96</v>
      </c>
      <c r="J22" s="46"/>
      <c r="K22" s="46"/>
      <c r="L22" s="21"/>
      <c r="N22" s="44" t="s">
        <v>146</v>
      </c>
      <c r="O22" s="44"/>
      <c r="P22" s="44"/>
      <c r="Q22" s="25"/>
    </row>
    <row r="23" spans="1:23" ht="27.95" customHeight="1" x14ac:dyDescent="0.2">
      <c r="A23" s="39"/>
      <c r="B23" s="39"/>
      <c r="D23" s="46"/>
      <c r="E23" s="46"/>
      <c r="F23" s="46"/>
      <c r="G23" s="25"/>
      <c r="I23" s="46"/>
      <c r="J23" s="46"/>
      <c r="K23" s="46"/>
      <c r="L23" s="25"/>
      <c r="N23" s="44"/>
      <c r="O23" s="44"/>
      <c r="P23" s="44"/>
      <c r="Q23" s="25"/>
    </row>
    <row r="24" spans="1:23" ht="27.95" customHeight="1" x14ac:dyDescent="0.2">
      <c r="A24" s="36" t="s">
        <v>139</v>
      </c>
      <c r="B24" s="36"/>
      <c r="D24" s="50">
        <f>עזר!F11</f>
        <v>85.470085470084086</v>
      </c>
      <c r="E24" s="50"/>
      <c r="F24" s="50"/>
      <c r="G24" s="25"/>
      <c r="I24" s="51">
        <f>עזר!B57</f>
        <v>4</v>
      </c>
      <c r="J24" s="51"/>
      <c r="K24" s="51"/>
      <c r="L24" s="25"/>
      <c r="N24" s="51">
        <f>עזר!B54</f>
        <v>134.55894499999931</v>
      </c>
      <c r="O24" s="51"/>
      <c r="P24" s="51"/>
      <c r="Q24" s="25"/>
    </row>
    <row r="25" spans="1:23" ht="27.95" customHeight="1" x14ac:dyDescent="0.2">
      <c r="A25" s="36" t="s">
        <v>144</v>
      </c>
      <c r="B25" s="36"/>
      <c r="D25" s="50"/>
      <c r="E25" s="50"/>
      <c r="F25" s="50"/>
      <c r="G25" s="25"/>
      <c r="I25" s="51"/>
      <c r="J25" s="51"/>
      <c r="K25" s="51"/>
      <c r="L25" s="25"/>
      <c r="N25" s="51"/>
      <c r="O25" s="51"/>
      <c r="P25" s="51"/>
      <c r="Q25" s="25"/>
    </row>
    <row r="26" spans="1:23" ht="27.95" customHeight="1" x14ac:dyDescent="0.2">
      <c r="A26" s="36" t="s">
        <v>135</v>
      </c>
      <c r="B26" s="36">
        <f>עזר!B34</f>
        <v>6.5000000000000002E-2</v>
      </c>
      <c r="D26" s="50"/>
      <c r="E26" s="50"/>
      <c r="F26" s="50"/>
      <c r="G26" s="25"/>
      <c r="I26" s="51"/>
      <c r="J26" s="51"/>
      <c r="K26" s="51"/>
      <c r="L26" s="25"/>
      <c r="N26" s="51"/>
      <c r="O26" s="51"/>
      <c r="P26" s="51"/>
      <c r="Q26" s="25"/>
    </row>
    <row r="27" spans="1:23" ht="27.95" customHeight="1" x14ac:dyDescent="0.2">
      <c r="A27" s="36" t="s">
        <v>138</v>
      </c>
      <c r="B27" s="36"/>
      <c r="D27" s="50"/>
      <c r="E27" s="50"/>
      <c r="F27" s="50"/>
      <c r="G27" s="25"/>
      <c r="I27" s="51"/>
      <c r="J27" s="51"/>
      <c r="K27" s="51"/>
      <c r="L27" s="25"/>
      <c r="N27" s="51"/>
      <c r="O27" s="51"/>
      <c r="P27" s="51"/>
      <c r="Q27" s="21"/>
    </row>
    <row r="28" spans="1:23" ht="27.95" customHeight="1" x14ac:dyDescent="0.2">
      <c r="A28" s="36" t="s">
        <v>140</v>
      </c>
      <c r="B28" s="36"/>
      <c r="D28" s="47" t="str">
        <f>IF(D24&gt;0,"כיוון שהמעמ עלה ב 1%","")</f>
        <v>כיוון שהמעמ עלה ב 1%</v>
      </c>
      <c r="E28" s="47"/>
      <c r="F28" s="47"/>
      <c r="G28" s="25"/>
      <c r="I28" s="43" t="str">
        <f>IF(I24&gt;0,"כיוון שהסכום בתוכנית חיסכון לכל ילד לא הוצמד למדד","")</f>
        <v>כיוון שהסכום בתוכנית חיסכון לכל ילד לא הוצמד למדד</v>
      </c>
      <c r="J28" s="43"/>
      <c r="K28" s="43"/>
      <c r="L28" s="25"/>
      <c r="N28" s="43" t="str">
        <f>IF(N24&gt;0,"כיוון שמדרגות המס ונקודות הזיכוי לא הוצמדו למדד","")</f>
        <v>כיוון שמדרגות המס ונקודות הזיכוי לא הוצמדו למדד</v>
      </c>
      <c r="O28" s="43"/>
      <c r="P28" s="43"/>
      <c r="Q28" s="21"/>
    </row>
    <row r="29" spans="1:23" ht="27.95" customHeight="1" x14ac:dyDescent="0.2">
      <c r="A29" s="40" t="s">
        <v>141</v>
      </c>
      <c r="B29" s="40"/>
      <c r="D29" s="47"/>
      <c r="E29" s="47"/>
      <c r="F29" s="47"/>
      <c r="G29" s="25"/>
      <c r="I29" s="43"/>
      <c r="J29" s="43"/>
      <c r="K29" s="43"/>
      <c r="L29" s="25"/>
      <c r="N29" s="43"/>
      <c r="O29" s="43"/>
      <c r="P29" s="43"/>
      <c r="Q29" s="25"/>
    </row>
    <row r="30" spans="1:23" ht="27.95" customHeight="1" x14ac:dyDescent="0.2">
      <c r="D30" s="46" t="s">
        <v>101</v>
      </c>
      <c r="E30" s="46"/>
      <c r="F30" s="46"/>
      <c r="G30" s="21"/>
      <c r="I30" s="46" t="s">
        <v>113</v>
      </c>
      <c r="J30" s="46"/>
      <c r="K30" s="46"/>
      <c r="L30" s="21"/>
      <c r="N30" s="46" t="s">
        <v>118</v>
      </c>
      <c r="O30" s="46"/>
      <c r="P30" s="46"/>
      <c r="Q30" s="25"/>
    </row>
    <row r="31" spans="1:23" ht="27.95" customHeight="1" x14ac:dyDescent="0.2">
      <c r="D31" s="46"/>
      <c r="E31" s="46"/>
      <c r="F31" s="46"/>
      <c r="G31" s="25"/>
      <c r="I31" s="46"/>
      <c r="J31" s="46"/>
      <c r="K31" s="46"/>
      <c r="L31" s="25"/>
      <c r="N31" s="46"/>
      <c r="O31" s="46"/>
      <c r="P31" s="46"/>
      <c r="Q31" s="25"/>
    </row>
    <row r="32" spans="1:23" ht="27.95" customHeight="1" x14ac:dyDescent="0.2">
      <c r="D32" s="55">
        <f>עזר!E17</f>
        <v>48.332799999999999</v>
      </c>
      <c r="E32" s="55"/>
      <c r="F32" s="55"/>
      <c r="G32" s="25"/>
      <c r="I32" s="56">
        <f>IF(עזר!D66&gt;0,עזר!D66,0)</f>
        <v>13.136900000000026</v>
      </c>
      <c r="J32" s="56"/>
      <c r="K32" s="56"/>
      <c r="L32" s="25"/>
      <c r="N32" s="55">
        <f>IF(עזר!B70&gt;0,עזר!B70,0)</f>
        <v>77.55</v>
      </c>
      <c r="O32" s="55"/>
      <c r="P32" s="55"/>
      <c r="Q32" s="25"/>
    </row>
    <row r="33" spans="4:19" ht="27.95" customHeight="1" x14ac:dyDescent="0.2">
      <c r="D33" s="55"/>
      <c r="E33" s="55"/>
      <c r="F33" s="55"/>
      <c r="G33" s="25"/>
      <c r="I33" s="56"/>
      <c r="J33" s="56"/>
      <c r="K33" s="56"/>
      <c r="L33" s="25"/>
      <c r="N33" s="55"/>
      <c r="O33" s="55"/>
      <c r="P33" s="55"/>
      <c r="Q33" s="25"/>
    </row>
    <row r="34" spans="4:19" ht="27.95" customHeight="1" x14ac:dyDescent="0.2">
      <c r="D34" s="55"/>
      <c r="E34" s="55"/>
      <c r="F34" s="55"/>
      <c r="G34" s="25"/>
      <c r="I34" s="56"/>
      <c r="J34" s="56"/>
      <c r="K34" s="56"/>
      <c r="L34" s="25"/>
      <c r="N34" s="55"/>
      <c r="O34" s="55"/>
      <c r="P34" s="55"/>
      <c r="Q34" s="25"/>
    </row>
    <row r="35" spans="4:19" ht="27.95" customHeight="1" x14ac:dyDescent="0.2">
      <c r="D35" s="55"/>
      <c r="E35" s="55"/>
      <c r="F35" s="55"/>
      <c r="G35" s="25"/>
      <c r="I35" s="56"/>
      <c r="J35" s="56"/>
      <c r="K35" s="56"/>
      <c r="L35" s="25"/>
      <c r="N35" s="55"/>
      <c r="O35" s="55"/>
      <c r="P35" s="55"/>
      <c r="Q35" s="25"/>
      <c r="R35" s="13"/>
      <c r="S35" s="12"/>
    </row>
    <row r="36" spans="4:19" ht="27.95" customHeight="1" x14ac:dyDescent="0.2">
      <c r="D36" s="47" t="str">
        <f>IF(D32&gt;0,"כיוון שהביטוח הלאומי עלה","")</f>
        <v>כיוון שהביטוח הלאומי עלה</v>
      </c>
      <c r="E36" s="47"/>
      <c r="F36" s="47"/>
      <c r="G36" s="25"/>
      <c r="I36" s="43" t="str">
        <f>IF(I32&gt;0," כיוון שהסכום של קצבאות הילדים לא הוצמד למדד (ההקפאה עדין לא אושרה)","")</f>
        <v xml:space="preserve"> כיוון שהסכום של קצבאות הילדים לא הוצמד למדד (ההקפאה עדין לא אושרה)</v>
      </c>
      <c r="J36" s="43"/>
      <c r="K36" s="43"/>
      <c r="L36" s="25"/>
      <c r="N36" s="43" t="str">
        <f>IF(N32&gt;0,"העלאה זו מתוכננת החל מחודש אפריל","")</f>
        <v>העלאה זו מתוכננת החל מחודש אפריל</v>
      </c>
      <c r="O36" s="43"/>
      <c r="P36" s="43"/>
      <c r="Q36" s="25"/>
      <c r="R36" s="13"/>
      <c r="S36" s="12"/>
    </row>
    <row r="37" spans="4:19" ht="27.95" customHeight="1" x14ac:dyDescent="0.2">
      <c r="D37" s="47"/>
      <c r="E37" s="47"/>
      <c r="F37" s="47"/>
      <c r="G37" s="25"/>
      <c r="I37" s="43"/>
      <c r="J37" s="43"/>
      <c r="K37" s="43"/>
      <c r="L37" s="25"/>
      <c r="Q37" s="25"/>
      <c r="R37" s="13"/>
      <c r="S37" s="12"/>
    </row>
    <row r="38" spans="4:19" ht="27.95" customHeight="1" x14ac:dyDescent="0.2">
      <c r="D38" s="46" t="s">
        <v>125</v>
      </c>
      <c r="E38" s="46"/>
      <c r="F38" s="46"/>
      <c r="G38" s="21"/>
      <c r="N38" s="35"/>
      <c r="O38" s="35"/>
      <c r="P38" s="35"/>
      <c r="R38" s="7"/>
    </row>
    <row r="39" spans="4:19" ht="27.95" customHeight="1" x14ac:dyDescent="0.2">
      <c r="D39" s="46"/>
      <c r="E39" s="46"/>
      <c r="F39" s="46"/>
      <c r="G39" s="25"/>
      <c r="R39" s="6"/>
    </row>
    <row r="40" spans="4:19" ht="27.95" customHeight="1" x14ac:dyDescent="0.2">
      <c r="D40" s="48">
        <f>IF(עזר!B72&gt;0,עזר!B72,0)</f>
        <v>418</v>
      </c>
      <c r="E40" s="48"/>
      <c r="F40" s="48"/>
      <c r="G40" s="25"/>
    </row>
    <row r="41" spans="4:19" ht="27.95" customHeight="1" x14ac:dyDescent="0.2">
      <c r="D41" s="48"/>
      <c r="E41" s="48"/>
      <c r="F41" s="48"/>
      <c r="G41" s="25"/>
    </row>
    <row r="42" spans="4:19" ht="27.95" customHeight="1" x14ac:dyDescent="0.2">
      <c r="D42" s="48"/>
      <c r="E42" s="48"/>
      <c r="F42" s="48"/>
      <c r="G42" s="25"/>
    </row>
    <row r="43" spans="4:19" ht="27.95" customHeight="1" x14ac:dyDescent="0.2">
      <c r="D43" s="48"/>
      <c r="E43" s="48"/>
      <c r="F43" s="48"/>
      <c r="G43" s="25"/>
    </row>
    <row r="44" spans="4:19" ht="27.95" customHeight="1" x14ac:dyDescent="0.2">
      <c r="D44" s="38" t="str">
        <f>IF(D40&gt;0,"כיון שמכל אחד מופחת יום הבראה אחד","")</f>
        <v>כיון שמכל אחד מופחת יום הבראה אחד</v>
      </c>
      <c r="E44" s="38"/>
      <c r="F44" s="38"/>
      <c r="G44" s="25"/>
    </row>
    <row r="45" spans="4:19" ht="27.95" customHeight="1" x14ac:dyDescent="0.2">
      <c r="D45" s="38"/>
      <c r="E45" s="38"/>
      <c r="F45" s="38"/>
    </row>
    <row r="46" spans="4:19" ht="27.95" customHeight="1" x14ac:dyDescent="0.2"/>
    <row r="47" spans="4:19" ht="27.95" customHeight="1" x14ac:dyDescent="0.2"/>
    <row r="48" spans="4:19" ht="27.95" customHeight="1" x14ac:dyDescent="0.2"/>
    <row r="49" ht="27.95" customHeight="1" x14ac:dyDescent="0.2"/>
    <row r="50" ht="27.95" customHeight="1" x14ac:dyDescent="0.2"/>
    <row r="51" ht="27.95" customHeight="1" x14ac:dyDescent="0.2"/>
    <row r="52" ht="27.95" customHeight="1" x14ac:dyDescent="0.2"/>
    <row r="53" ht="27.95" customHeight="1" x14ac:dyDescent="0.2"/>
    <row r="54" ht="27.95" customHeight="1" x14ac:dyDescent="0.2"/>
    <row r="55" ht="27.95" customHeight="1" x14ac:dyDescent="0.2"/>
    <row r="56" ht="27.95" customHeight="1" x14ac:dyDescent="0.2"/>
    <row r="57" ht="27.95" customHeight="1" x14ac:dyDescent="0.2"/>
    <row r="58" ht="27.95" customHeight="1" x14ac:dyDescent="0.2"/>
    <row r="59" ht="27.95" customHeight="1" x14ac:dyDescent="0.2"/>
    <row r="60" ht="27.95" customHeight="1" x14ac:dyDescent="0.2"/>
    <row r="61" ht="27.95" customHeight="1" x14ac:dyDescent="0.2"/>
    <row r="62" ht="27.95" customHeight="1" x14ac:dyDescent="0.2"/>
    <row r="63" ht="27.95" customHeight="1" x14ac:dyDescent="0.2"/>
    <row r="64" ht="27.95" customHeight="1" x14ac:dyDescent="0.2"/>
    <row r="65" ht="27.95" customHeight="1" x14ac:dyDescent="0.2"/>
    <row r="66" ht="27.95" customHeight="1" x14ac:dyDescent="0.2"/>
  </sheetData>
  <mergeCells count="40">
    <mergeCell ref="T3:U3"/>
    <mergeCell ref="D38:F39"/>
    <mergeCell ref="D40:F43"/>
    <mergeCell ref="N28:P29"/>
    <mergeCell ref="N32:P35"/>
    <mergeCell ref="N36:P36"/>
    <mergeCell ref="D5:F5"/>
    <mergeCell ref="I5:K5"/>
    <mergeCell ref="D32:F35"/>
    <mergeCell ref="I30:K31"/>
    <mergeCell ref="I32:K35"/>
    <mergeCell ref="I36:K37"/>
    <mergeCell ref="D36:F37"/>
    <mergeCell ref="N14:P15"/>
    <mergeCell ref="N16:P19"/>
    <mergeCell ref="N20:P20"/>
    <mergeCell ref="A11:B11"/>
    <mergeCell ref="N21:P21"/>
    <mergeCell ref="D22:F23"/>
    <mergeCell ref="D20:F20"/>
    <mergeCell ref="N24:P27"/>
    <mergeCell ref="N30:P31"/>
    <mergeCell ref="D28:F29"/>
    <mergeCell ref="I14:K15"/>
    <mergeCell ref="I16:K19"/>
    <mergeCell ref="I20:K21"/>
    <mergeCell ref="D14:F15"/>
    <mergeCell ref="D16:F19"/>
    <mergeCell ref="D30:F31"/>
    <mergeCell ref="D24:F27"/>
    <mergeCell ref="I22:K23"/>
    <mergeCell ref="I24:K27"/>
    <mergeCell ref="I28:K29"/>
    <mergeCell ref="D10:F10"/>
    <mergeCell ref="N22:P23"/>
    <mergeCell ref="N5:P5"/>
    <mergeCell ref="N6:P9"/>
    <mergeCell ref="N10:P10"/>
    <mergeCell ref="D6:F9"/>
    <mergeCell ref="I6:K9"/>
  </mergeCells>
  <conditionalFormatting sqref="E3:H3">
    <cfRule type="expression" dxfId="0" priority="1" stopIfTrue="1">
      <formula>E3&lt;&gt;""</formula>
    </cfRule>
  </conditionalFormatting>
  <dataValidations count="2">
    <dataValidation type="list" allowBlank="1" showInputMessage="1" showErrorMessage="1" sqref="B5" xr:uid="{B49E8C9D-4C33-4930-8A33-CC9B5EBCB337}">
      <formula1>GENDERS</formula1>
    </dataValidation>
    <dataValidation type="list" allowBlank="1" showInputMessage="1" showErrorMessage="1" sqref="B13:B14" xr:uid="{6A148245-DA26-40A7-8841-11148CC66BDE}">
      <formula1>YESNO</formula1>
    </dataValidation>
  </dataValidations>
  <hyperlinks>
    <hyperlink ref="V3" r:id="rId1" xr:uid="{E6072E6F-1F53-4591-9579-563B991115D7}"/>
    <hyperlink ref="V4" r:id="rId2" xr:uid="{5252F5B1-C078-48BF-933D-C1713F4C29F8}"/>
    <hyperlink ref="R21" r:id="rId3" xr:uid="{5252C0B3-6A76-486F-8815-1D6BF94FC314}"/>
    <hyperlink ref="V5" r:id="rId4" xr:uid="{329B3B1A-C37A-4B8B-BFE3-C92666A39A60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BCF8-5C0E-4E40-8272-0295731454E1}">
  <dimension ref="A3:N113"/>
  <sheetViews>
    <sheetView rightToLeft="1" topLeftCell="A44" zoomScale="180" zoomScaleNormal="180" zoomScaleSheetLayoutView="100" workbookViewId="0">
      <selection activeCell="B58" sqref="B58"/>
    </sheetView>
  </sheetViews>
  <sheetFormatPr defaultRowHeight="14.25" x14ac:dyDescent="0.2"/>
  <cols>
    <col min="1" max="1" width="20.125" customWidth="1"/>
    <col min="2" max="2" width="19.5" bestFit="1" customWidth="1"/>
    <col min="3" max="4" width="19.5" customWidth="1"/>
    <col min="5" max="5" width="11.875" bestFit="1" customWidth="1"/>
    <col min="6" max="6" width="20.375" customWidth="1"/>
    <col min="10" max="10" width="11.875" bestFit="1" customWidth="1"/>
    <col min="12" max="12" width="15.625" bestFit="1" customWidth="1"/>
  </cols>
  <sheetData>
    <row r="3" spans="1:6" x14ac:dyDescent="0.2">
      <c r="A3" t="s">
        <v>11</v>
      </c>
      <c r="E3">
        <f>בית!B6</f>
        <v>20000</v>
      </c>
    </row>
    <row r="4" spans="1:6" x14ac:dyDescent="0.2">
      <c r="A4" t="s">
        <v>12</v>
      </c>
      <c r="E4">
        <v>0</v>
      </c>
    </row>
    <row r="5" spans="1:6" x14ac:dyDescent="0.2">
      <c r="A5" t="s">
        <v>41</v>
      </c>
      <c r="E5">
        <v>10000</v>
      </c>
    </row>
    <row r="6" spans="1:6" x14ac:dyDescent="0.2">
      <c r="A6" t="s">
        <v>22</v>
      </c>
      <c r="E6">
        <f>בית!B7</f>
        <v>600</v>
      </c>
    </row>
    <row r="7" spans="1:6" x14ac:dyDescent="0.2">
      <c r="A7" t="s">
        <v>26</v>
      </c>
      <c r="E7">
        <f>בית!B8</f>
        <v>1400</v>
      </c>
    </row>
    <row r="8" spans="1:6" x14ac:dyDescent="0.2">
      <c r="A8" t="s">
        <v>39</v>
      </c>
      <c r="E8">
        <f>בית!B9</f>
        <v>700</v>
      </c>
    </row>
    <row r="10" spans="1:6" x14ac:dyDescent="0.2">
      <c r="A10" t="s">
        <v>8</v>
      </c>
      <c r="E10" s="2">
        <v>0.01</v>
      </c>
    </row>
    <row r="11" spans="1:6" x14ac:dyDescent="0.2">
      <c r="A11" t="s">
        <v>9</v>
      </c>
      <c r="E11">
        <f>בית!B10</f>
        <v>10000</v>
      </c>
      <c r="F11">
        <f>(TOTAL_EXPANSES/117*118)-TOTAL_EXPANSES</f>
        <v>85.470085470084086</v>
      </c>
    </row>
    <row r="14" spans="1:6" x14ac:dyDescent="0.2">
      <c r="A14" t="s">
        <v>10</v>
      </c>
    </row>
    <row r="16" spans="1:6" x14ac:dyDescent="0.2">
      <c r="A16" t="s">
        <v>13</v>
      </c>
      <c r="E16">
        <f>IF(SALARY&gt;7552,7552,E3)</f>
        <v>7552</v>
      </c>
    </row>
    <row r="17" spans="1:5" x14ac:dyDescent="0.2">
      <c r="A17" t="s">
        <v>14</v>
      </c>
      <c r="E17">
        <f>(1.04-0.4)/100*E16</f>
        <v>48.332799999999999</v>
      </c>
    </row>
    <row r="18" spans="1:5" x14ac:dyDescent="0.2">
      <c r="A18" t="s">
        <v>15</v>
      </c>
      <c r="E18">
        <f>(4.47-2.87)/100*BUSINESS_INCOME</f>
        <v>0</v>
      </c>
    </row>
    <row r="19" spans="1:5" x14ac:dyDescent="0.2">
      <c r="A19" t="s">
        <v>16</v>
      </c>
      <c r="E19">
        <f>(4.51-3.55)/100*EMPLOYER_EXPANSES</f>
        <v>95.999999999999986</v>
      </c>
    </row>
    <row r="21" spans="1:5" x14ac:dyDescent="0.2">
      <c r="A21" t="s">
        <v>23</v>
      </c>
      <c r="E21">
        <f>5.29%*CURRENT_ARNONA</f>
        <v>31.740000000000002</v>
      </c>
    </row>
    <row r="23" spans="1:5" x14ac:dyDescent="0.2">
      <c r="A23" t="s">
        <v>28</v>
      </c>
      <c r="E23">
        <f>(CURRENT_ELECTRICITY/2)/0.6145</f>
        <v>1139.1375101708704</v>
      </c>
    </row>
    <row r="24" spans="1:5" x14ac:dyDescent="0.2">
      <c r="A24" t="s">
        <v>29</v>
      </c>
      <c r="E24">
        <f>0.642-0.6145</f>
        <v>2.7499999999999969E-2</v>
      </c>
    </row>
    <row r="26" spans="1:5" x14ac:dyDescent="0.2">
      <c r="A26" t="s">
        <v>27</v>
      </c>
      <c r="E26">
        <f>E23*E24</f>
        <v>31.3262815296989</v>
      </c>
    </row>
    <row r="29" spans="1:5" x14ac:dyDescent="0.2">
      <c r="A29" t="s">
        <v>40</v>
      </c>
      <c r="E29">
        <f>(WATER/2)*2.8%</f>
        <v>9.7999999999999989</v>
      </c>
    </row>
    <row r="31" spans="1:5" x14ac:dyDescent="0.2">
      <c r="A31" t="s">
        <v>42</v>
      </c>
    </row>
    <row r="32" spans="1:5" x14ac:dyDescent="0.2">
      <c r="A32" t="s">
        <v>57</v>
      </c>
      <c r="B32">
        <f>2.25+IF(בית!B5="נקבה",0.5,0)+1.5*בית!B16+2.5*בית!B17+1*בית!B18+0.5*B28</f>
        <v>4.25</v>
      </c>
      <c r="D32" t="s">
        <v>58</v>
      </c>
      <c r="E32">
        <f>242*B32</f>
        <v>1028.5</v>
      </c>
    </row>
    <row r="33" spans="1:14" ht="28.5" x14ac:dyDescent="0.2">
      <c r="D33" s="5" t="s">
        <v>59</v>
      </c>
      <c r="E33" s="23">
        <f>E32*(1+B53)</f>
        <v>1063.77755</v>
      </c>
      <c r="F33" s="23"/>
    </row>
    <row r="34" spans="1:14" x14ac:dyDescent="0.2">
      <c r="A34" t="s">
        <v>61</v>
      </c>
      <c r="B34" s="4">
        <v>6.5000000000000002E-2</v>
      </c>
      <c r="C34" s="4" t="s">
        <v>128</v>
      </c>
      <c r="D34" s="5"/>
    </row>
    <row r="35" spans="1:14" x14ac:dyDescent="0.2">
      <c r="A35" t="s">
        <v>62</v>
      </c>
      <c r="B35">
        <f>IF(B34&gt;7%,7%*SALARY,SALARY*B34)</f>
        <v>1300</v>
      </c>
      <c r="C35">
        <f>B35*12</f>
        <v>15600</v>
      </c>
      <c r="D35" s="5"/>
    </row>
    <row r="36" spans="1:14" ht="28.5" x14ac:dyDescent="0.2">
      <c r="A36" s="5" t="s">
        <v>129</v>
      </c>
      <c r="C36">
        <v>8148</v>
      </c>
      <c r="D36" s="5" t="s">
        <v>132</v>
      </c>
      <c r="E36">
        <f>C36*(1+B53)</f>
        <v>8427.4763999999996</v>
      </c>
    </row>
    <row r="37" spans="1:14" ht="42.75" x14ac:dyDescent="0.2">
      <c r="A37" s="33" t="s">
        <v>131</v>
      </c>
      <c r="C37">
        <f>MIN(C35:C36)</f>
        <v>8148</v>
      </c>
      <c r="D37" s="5"/>
      <c r="E37">
        <f>MIN(C35,E36)</f>
        <v>8427.4763999999996</v>
      </c>
    </row>
    <row r="38" spans="1:14" ht="28.5" x14ac:dyDescent="0.2">
      <c r="A38" s="5" t="s">
        <v>130</v>
      </c>
      <c r="B38">
        <f>C38/12</f>
        <v>237.64999999999998</v>
      </c>
      <c r="C38">
        <f>35%*C37</f>
        <v>2851.7999999999997</v>
      </c>
      <c r="D38" s="5"/>
      <c r="E38">
        <f>35%*E37/12</f>
        <v>245.80139499999996</v>
      </c>
    </row>
    <row r="39" spans="1:14" x14ac:dyDescent="0.2">
      <c r="D39" s="5"/>
    </row>
    <row r="40" spans="1:14" x14ac:dyDescent="0.2">
      <c r="A40" t="s">
        <v>43</v>
      </c>
      <c r="B40" t="s">
        <v>44</v>
      </c>
      <c r="C40" t="s">
        <v>64</v>
      </c>
      <c r="D40" t="s">
        <v>53</v>
      </c>
      <c r="E40" t="s">
        <v>48</v>
      </c>
      <c r="F40" t="s">
        <v>45</v>
      </c>
      <c r="G40" t="s">
        <v>46</v>
      </c>
      <c r="H40" t="s">
        <v>47</v>
      </c>
      <c r="I40" t="s">
        <v>54</v>
      </c>
      <c r="J40" t="s">
        <v>55</v>
      </c>
    </row>
    <row r="41" spans="1:14" x14ac:dyDescent="0.2">
      <c r="A41">
        <v>0</v>
      </c>
      <c r="B41">
        <v>7010</v>
      </c>
      <c r="C41">
        <v>0</v>
      </c>
      <c r="D41">
        <f>FLOOR(B41*(1+$B$53),1)</f>
        <v>7250</v>
      </c>
      <c r="E41">
        <f>IF(SALARY&gt;B41,B41,SALARY)</f>
        <v>7010</v>
      </c>
      <c r="F41" s="2">
        <v>0.1</v>
      </c>
      <c r="G41">
        <f>E41*F41</f>
        <v>701</v>
      </c>
      <c r="H41">
        <f>G41</f>
        <v>701</v>
      </c>
      <c r="I41">
        <f>IF(SALARY&gt;D41,D41,SALARY)</f>
        <v>7250</v>
      </c>
      <c r="J41">
        <f>I41*F41</f>
        <v>725</v>
      </c>
      <c r="L41" s="3"/>
      <c r="N41" s="2"/>
    </row>
    <row r="42" spans="1:14" x14ac:dyDescent="0.2">
      <c r="A42">
        <v>7011</v>
      </c>
      <c r="B42">
        <v>10060</v>
      </c>
      <c r="C42">
        <f>D41+1</f>
        <v>7251</v>
      </c>
      <c r="D42">
        <f t="shared" ref="D42:D45" si="0">FLOOR(B42*(1+$B$53),1)</f>
        <v>10405</v>
      </c>
      <c r="E42">
        <f>IF(SALARY&gt;B42,B42-A42,IF(SALARY&gt;A42,SALARY-A42,0))</f>
        <v>3049</v>
      </c>
      <c r="F42" s="2">
        <v>0.14000000000000001</v>
      </c>
      <c r="G42">
        <f>E42*F42</f>
        <v>426.86</v>
      </c>
      <c r="H42">
        <f>G42+H41</f>
        <v>1127.8600000000001</v>
      </c>
      <c r="I42">
        <f>IF(SALARY&gt;D42,D42-C42,IF(SALARY&gt;C42,SALARY-C42,0))</f>
        <v>3154</v>
      </c>
      <c r="J42">
        <f t="shared" ref="J42:J46" si="1">I42*F42</f>
        <v>441.56000000000006</v>
      </c>
      <c r="L42" s="3"/>
      <c r="N42" s="2"/>
    </row>
    <row r="43" spans="1:14" x14ac:dyDescent="0.2">
      <c r="A43">
        <v>10061</v>
      </c>
      <c r="B43">
        <v>16150</v>
      </c>
      <c r="C43">
        <f t="shared" ref="C43:C46" si="2">D42+1</f>
        <v>10406</v>
      </c>
      <c r="D43">
        <f t="shared" si="0"/>
        <v>16703</v>
      </c>
      <c r="E43">
        <f>IF(SALARY&gt;B43,B43-A43,IF(SALARY&gt;A43,SALARY-A43,0))</f>
        <v>6089</v>
      </c>
      <c r="F43" s="2">
        <v>0.2</v>
      </c>
      <c r="G43">
        <f t="shared" ref="G43:G46" si="3">E43*F43</f>
        <v>1217.8</v>
      </c>
      <c r="H43">
        <f t="shared" ref="H43:H46" si="4">G43+H42</f>
        <v>2345.66</v>
      </c>
      <c r="I43">
        <f>IF(SALARY&gt;D43,D43-C43,IF(SALARY&gt;C43,SALARY-C43,0))</f>
        <v>6297</v>
      </c>
      <c r="J43">
        <f t="shared" si="1"/>
        <v>1259.4000000000001</v>
      </c>
      <c r="L43" s="3"/>
      <c r="N43" s="2"/>
    </row>
    <row r="44" spans="1:14" x14ac:dyDescent="0.2">
      <c r="A44">
        <v>16151</v>
      </c>
      <c r="B44">
        <v>22440</v>
      </c>
      <c r="C44">
        <f t="shared" si="2"/>
        <v>16704</v>
      </c>
      <c r="D44">
        <f t="shared" si="0"/>
        <v>23209</v>
      </c>
      <c r="E44">
        <f>IF(SALARY&gt;B44,B44-A44,IF(SALARY&gt;A44,SALARY-A44,0))</f>
        <v>3849</v>
      </c>
      <c r="F44" s="2">
        <v>0.31</v>
      </c>
      <c r="G44">
        <f t="shared" si="3"/>
        <v>1193.19</v>
      </c>
      <c r="H44">
        <f t="shared" si="4"/>
        <v>3538.85</v>
      </c>
      <c r="I44">
        <f>IF(SALARY&gt;D44,D44-C44,IF(SALARY&gt;C44,SALARY-C44,0))</f>
        <v>3296</v>
      </c>
      <c r="J44">
        <f t="shared" si="1"/>
        <v>1021.76</v>
      </c>
      <c r="L44" s="3"/>
      <c r="N44" s="2"/>
    </row>
    <row r="45" spans="1:14" x14ac:dyDescent="0.2">
      <c r="A45">
        <v>22441</v>
      </c>
      <c r="B45">
        <v>46690</v>
      </c>
      <c r="C45">
        <f t="shared" si="2"/>
        <v>23210</v>
      </c>
      <c r="D45">
        <f t="shared" si="0"/>
        <v>48291</v>
      </c>
      <c r="E45">
        <f>IF(SALARY&gt;B45,B45-A45,IF(SALARY&gt;A45,SALARY-A45,0))</f>
        <v>0</v>
      </c>
      <c r="F45" s="2">
        <v>0.35</v>
      </c>
      <c r="G45">
        <f t="shared" si="3"/>
        <v>0</v>
      </c>
      <c r="H45">
        <f t="shared" si="4"/>
        <v>3538.85</v>
      </c>
      <c r="I45">
        <f>IF(SALARY&gt;D45,D45-C45,IF(SALARY&gt;C45,SALARY-C45,0))</f>
        <v>0</v>
      </c>
      <c r="J45">
        <f t="shared" si="1"/>
        <v>0</v>
      </c>
      <c r="L45" s="3"/>
      <c r="N45" s="2"/>
    </row>
    <row r="46" spans="1:14" x14ac:dyDescent="0.2">
      <c r="A46">
        <v>46691</v>
      </c>
      <c r="B46">
        <v>999999999</v>
      </c>
      <c r="C46">
        <f t="shared" si="2"/>
        <v>48292</v>
      </c>
      <c r="D46">
        <v>999999999</v>
      </c>
      <c r="E46">
        <f>IF(SALARY&gt;B46,B46-A46,IF(SALARY&gt;A46,SALARY-A46,0))</f>
        <v>0</v>
      </c>
      <c r="F46" s="2">
        <v>0.47</v>
      </c>
      <c r="G46">
        <f t="shared" si="3"/>
        <v>0</v>
      </c>
      <c r="H46">
        <f t="shared" si="4"/>
        <v>3538.85</v>
      </c>
      <c r="I46">
        <f>IF(SALARY&gt;D46,D46-C46,IF(SALARY&gt;C46,SALARY-C46,0))</f>
        <v>0</v>
      </c>
      <c r="J46">
        <f t="shared" si="1"/>
        <v>0</v>
      </c>
      <c r="L46" s="3"/>
      <c r="N46" s="2"/>
    </row>
    <row r="47" spans="1:14" x14ac:dyDescent="0.2">
      <c r="F47" t="s">
        <v>56</v>
      </c>
      <c r="G47">
        <f>SUM(G41:G46)</f>
        <v>3538.85</v>
      </c>
      <c r="J47">
        <f>SUM(J41:J46)</f>
        <v>3447.7200000000003</v>
      </c>
    </row>
    <row r="48" spans="1:14" x14ac:dyDescent="0.2">
      <c r="F48" t="s">
        <v>60</v>
      </c>
      <c r="G48">
        <f>MAX(G47-E32,0)</f>
        <v>2510.35</v>
      </c>
      <c r="J48" s="23">
        <f>MAX(J47-E33,0)</f>
        <v>2383.9424500000005</v>
      </c>
    </row>
    <row r="49" spans="1:10" x14ac:dyDescent="0.2">
      <c r="F49" t="s">
        <v>63</v>
      </c>
      <c r="G49">
        <f>MAX(G48-B38,0)</f>
        <v>2272.6999999999998</v>
      </c>
      <c r="J49" s="23">
        <f>MAX(J48-E38,0)</f>
        <v>2138.1410550000005</v>
      </c>
    </row>
    <row r="53" spans="1:10" x14ac:dyDescent="0.2">
      <c r="A53" t="s">
        <v>49</v>
      </c>
      <c r="B53" s="4">
        <v>3.4299999999999997E-2</v>
      </c>
      <c r="C53" s="4" t="str">
        <f>מקורות!D17</f>
        <v>הוזנו התאריכים 1.1.2024 עד 1.1.2025. כלומר השוואה בין מדדי נובמבר 2023 לעומת נובמבר 2024.</v>
      </c>
    </row>
    <row r="54" spans="1:10" x14ac:dyDescent="0.2">
      <c r="A54" t="s">
        <v>65</v>
      </c>
      <c r="B54">
        <f>G49-J49</f>
        <v>134.55894499999931</v>
      </c>
    </row>
    <row r="56" spans="1:10" x14ac:dyDescent="0.2">
      <c r="A56" t="s">
        <v>77</v>
      </c>
      <c r="B56">
        <f>SUM(בית!B16:B18)</f>
        <v>2</v>
      </c>
    </row>
    <row r="57" spans="1:10" x14ac:dyDescent="0.2">
      <c r="A57" t="s">
        <v>78</v>
      </c>
      <c r="B57">
        <f>B56*2</f>
        <v>4</v>
      </c>
    </row>
    <row r="59" spans="1:10" x14ac:dyDescent="0.2">
      <c r="A59" t="s">
        <v>105</v>
      </c>
      <c r="B59">
        <f>IF(B56&gt;0,169,0)</f>
        <v>169</v>
      </c>
    </row>
    <row r="60" spans="1:10" x14ac:dyDescent="0.2">
      <c r="A60" t="s">
        <v>106</v>
      </c>
      <c r="B60">
        <f>MAX(0, MIN(B56 - 1, 3))</f>
        <v>1</v>
      </c>
    </row>
    <row r="61" spans="1:10" x14ac:dyDescent="0.2">
      <c r="A61" t="s">
        <v>107</v>
      </c>
      <c r="B61">
        <f>B60*214</f>
        <v>214</v>
      </c>
    </row>
    <row r="62" spans="1:10" x14ac:dyDescent="0.2">
      <c r="A62" t="s">
        <v>108</v>
      </c>
      <c r="B62">
        <f>MAX(0, B56 - 4)</f>
        <v>0</v>
      </c>
    </row>
    <row r="63" spans="1:10" x14ac:dyDescent="0.2">
      <c r="A63" t="s">
        <v>109</v>
      </c>
      <c r="B63">
        <f>B62*169</f>
        <v>0</v>
      </c>
    </row>
    <row r="65" spans="1:4" x14ac:dyDescent="0.2">
      <c r="A65" t="s">
        <v>110</v>
      </c>
      <c r="B65">
        <f>SUM(B63,B61,B59)</f>
        <v>383</v>
      </c>
      <c r="C65" t="s">
        <v>111</v>
      </c>
      <c r="D65">
        <f>B65*(1+B53)</f>
        <v>396.13690000000003</v>
      </c>
    </row>
    <row r="66" spans="1:4" x14ac:dyDescent="0.2">
      <c r="C66" t="s">
        <v>112</v>
      </c>
      <c r="D66">
        <f>D65-B65</f>
        <v>13.136900000000026</v>
      </c>
    </row>
    <row r="69" spans="1:4" x14ac:dyDescent="0.2">
      <c r="A69" t="s">
        <v>116</v>
      </c>
      <c r="B69" s="2">
        <v>0.33</v>
      </c>
    </row>
    <row r="70" spans="1:4" x14ac:dyDescent="0.2">
      <c r="A70" t="s">
        <v>117</v>
      </c>
      <c r="B70">
        <f>בית!B12*B69</f>
        <v>77.55</v>
      </c>
    </row>
    <row r="72" spans="1:4" x14ac:dyDescent="0.2">
      <c r="A72" t="s">
        <v>124</v>
      </c>
      <c r="B72">
        <f>IF(AND(SALARY&gt;0,בית!B13="כן"),IF(בית!B14="כן",471.4,418),0)</f>
        <v>418</v>
      </c>
    </row>
    <row r="100" spans="1:3" x14ac:dyDescent="0.2">
      <c r="A100" t="s">
        <v>86</v>
      </c>
      <c r="B100" t="s">
        <v>122</v>
      </c>
    </row>
    <row r="101" spans="1:3" x14ac:dyDescent="0.2">
      <c r="A101" t="s">
        <v>76</v>
      </c>
      <c r="B101" t="s">
        <v>123</v>
      </c>
    </row>
    <row r="105" spans="1:3" x14ac:dyDescent="0.2">
      <c r="A105" t="s">
        <v>87</v>
      </c>
      <c r="B105" t="s">
        <v>90</v>
      </c>
      <c r="C105" t="s">
        <v>91</v>
      </c>
    </row>
    <row r="106" spans="1:3" x14ac:dyDescent="0.2">
      <c r="A106" t="s">
        <v>88</v>
      </c>
      <c r="B106" s="23">
        <f>SUM(E3:E4)</f>
        <v>20000</v>
      </c>
      <c r="C106" s="24">
        <f>B106/SUM(B106:B107)</f>
        <v>0.98071914279090522</v>
      </c>
    </row>
    <row r="107" spans="1:3" x14ac:dyDescent="0.2">
      <c r="A107" t="s">
        <v>89</v>
      </c>
      <c r="B107" s="23">
        <f>בית!N6/12</f>
        <v>393.19834533311564</v>
      </c>
      <c r="C107" s="24">
        <f>B107/SUM(B106:B107)</f>
        <v>1.9280857209094775E-2</v>
      </c>
    </row>
    <row r="112" spans="1:3" x14ac:dyDescent="0.2">
      <c r="A112" t="s">
        <v>126</v>
      </c>
      <c r="B112">
        <v>1</v>
      </c>
    </row>
    <row r="113" spans="1:2" x14ac:dyDescent="0.2">
      <c r="A113" t="s">
        <v>127</v>
      </c>
      <c r="B113">
        <f>IFERROR(_xlfn.FILTERXML(_xlfn.WEBSERVICE("https://excel.kova.co.il/files/2025ver.xml"),"/version/versionNumber"),VER)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rightToLeft="1" workbookViewId="0">
      <selection activeCell="C30" sqref="C30"/>
    </sheetView>
  </sheetViews>
  <sheetFormatPr defaultRowHeight="14.25" x14ac:dyDescent="0.2"/>
  <sheetData>
    <row r="1" spans="1:4" x14ac:dyDescent="0.2">
      <c r="A1" t="s">
        <v>0</v>
      </c>
    </row>
    <row r="3" spans="1:4" x14ac:dyDescent="0.2">
      <c r="A3" s="5" t="s">
        <v>1</v>
      </c>
      <c r="B3" t="s">
        <v>2</v>
      </c>
      <c r="C3" t="s">
        <v>3</v>
      </c>
      <c r="D3" t="s">
        <v>20</v>
      </c>
    </row>
    <row r="4" spans="1:4" ht="42.75" x14ac:dyDescent="0.2">
      <c r="A4" s="5" t="s">
        <v>4</v>
      </c>
    </row>
    <row r="5" spans="1:4" ht="28.5" x14ac:dyDescent="0.2">
      <c r="A5" s="5" t="s">
        <v>5</v>
      </c>
      <c r="B5" t="s">
        <v>6</v>
      </c>
      <c r="C5" s="1" t="s">
        <v>7</v>
      </c>
    </row>
    <row r="6" spans="1:4" x14ac:dyDescent="0.2">
      <c r="A6" s="5"/>
    </row>
    <row r="7" spans="1:4" x14ac:dyDescent="0.2">
      <c r="A7" s="5"/>
    </row>
    <row r="8" spans="1:4" ht="57" x14ac:dyDescent="0.2">
      <c r="A8" s="5" t="s">
        <v>17</v>
      </c>
      <c r="B8" t="s">
        <v>19</v>
      </c>
      <c r="C8" s="1" t="s">
        <v>18</v>
      </c>
      <c r="D8" t="s">
        <v>21</v>
      </c>
    </row>
    <row r="9" spans="1:4" x14ac:dyDescent="0.2">
      <c r="A9" s="5"/>
    </row>
    <row r="10" spans="1:4" x14ac:dyDescent="0.2">
      <c r="A10" s="5" t="s">
        <v>22</v>
      </c>
      <c r="B10" t="s">
        <v>25</v>
      </c>
      <c r="C10" s="1" t="s">
        <v>24</v>
      </c>
    </row>
    <row r="11" spans="1:4" x14ac:dyDescent="0.2">
      <c r="A11" s="5"/>
    </row>
    <row r="12" spans="1:4" ht="42.75" x14ac:dyDescent="0.2">
      <c r="A12" s="5" t="s">
        <v>34</v>
      </c>
      <c r="B12" t="s">
        <v>30</v>
      </c>
      <c r="C12" s="1" t="s">
        <v>31</v>
      </c>
    </row>
    <row r="13" spans="1:4" ht="42.75" x14ac:dyDescent="0.2">
      <c r="A13" s="5" t="s">
        <v>33</v>
      </c>
      <c r="B13" t="s">
        <v>35</v>
      </c>
      <c r="C13" s="1" t="s">
        <v>32</v>
      </c>
    </row>
    <row r="14" spans="1:4" x14ac:dyDescent="0.2">
      <c r="A14" s="5"/>
    </row>
    <row r="15" spans="1:4" x14ac:dyDescent="0.2">
      <c r="A15" s="5" t="s">
        <v>36</v>
      </c>
      <c r="B15" t="s">
        <v>38</v>
      </c>
      <c r="C15" s="1" t="s">
        <v>37</v>
      </c>
    </row>
    <row r="16" spans="1:4" x14ac:dyDescent="0.2">
      <c r="A16" s="5"/>
    </row>
    <row r="17" spans="1:4" ht="42.75" x14ac:dyDescent="0.2">
      <c r="A17" s="5" t="s">
        <v>50</v>
      </c>
      <c r="B17" t="s">
        <v>51</v>
      </c>
      <c r="C17" s="1" t="s">
        <v>52</v>
      </c>
      <c r="D17" t="s">
        <v>100</v>
      </c>
    </row>
    <row r="18" spans="1:4" x14ac:dyDescent="0.2">
      <c r="A18" s="5"/>
    </row>
    <row r="19" spans="1:4" ht="42.75" x14ac:dyDescent="0.2">
      <c r="A19" s="5" t="s">
        <v>79</v>
      </c>
      <c r="B19" t="s">
        <v>19</v>
      </c>
      <c r="C19" s="1" t="s">
        <v>80</v>
      </c>
    </row>
    <row r="20" spans="1:4" x14ac:dyDescent="0.2">
      <c r="A20" s="5"/>
      <c r="B20" t="s">
        <v>81</v>
      </c>
      <c r="C20" s="1" t="s">
        <v>82</v>
      </c>
      <c r="D20" t="s">
        <v>83</v>
      </c>
    </row>
    <row r="21" spans="1:4" x14ac:dyDescent="0.2">
      <c r="A21" s="5"/>
    </row>
    <row r="22" spans="1:4" ht="57" x14ac:dyDescent="0.2">
      <c r="A22" s="5" t="s">
        <v>102</v>
      </c>
      <c r="B22" t="s">
        <v>104</v>
      </c>
      <c r="C22" s="26" t="s">
        <v>103</v>
      </c>
    </row>
    <row r="25" spans="1:4" x14ac:dyDescent="0.2">
      <c r="A25" t="s">
        <v>115</v>
      </c>
      <c r="B25" t="s">
        <v>119</v>
      </c>
      <c r="C25" s="26" t="s">
        <v>120</v>
      </c>
      <c r="D25" t="s">
        <v>121</v>
      </c>
    </row>
    <row r="27" spans="1:4" x14ac:dyDescent="0.2">
      <c r="A27" t="s">
        <v>136</v>
      </c>
      <c r="B27" t="s">
        <v>6</v>
      </c>
      <c r="C27" s="26" t="s">
        <v>137</v>
      </c>
    </row>
    <row r="29" spans="1:4" x14ac:dyDescent="0.2">
      <c r="A29" t="s">
        <v>153</v>
      </c>
      <c r="B29" t="s">
        <v>154</v>
      </c>
      <c r="C29" s="26" t="s">
        <v>155</v>
      </c>
    </row>
  </sheetData>
  <hyperlinks>
    <hyperlink ref="C5" r:id="rId1" xr:uid="{DE7D0475-05E8-0B47-9D5C-2ADAA233ED03}"/>
    <hyperlink ref="C8" r:id="rId2" xr:uid="{7BAA8FFF-E243-A84A-A489-11FAC717C788}"/>
    <hyperlink ref="C10" r:id="rId3" xr:uid="{1F5FA109-F4FD-1243-B036-03C59C738F40}"/>
    <hyperlink ref="C12" r:id="rId4" xr:uid="{CE457FBC-C682-6242-B5DF-0EAEBB2E4908}"/>
    <hyperlink ref="C13" r:id="rId5" xr:uid="{F55FEE92-7A4A-7C44-BBED-16A1A39B7EAA}"/>
    <hyperlink ref="C15" r:id="rId6" xr:uid="{80C9B4CC-F9D4-5C45-B34A-B385A73CBCDF}"/>
    <hyperlink ref="C17" r:id="rId7" xr:uid="{109FAF91-B108-2745-89A9-6E9D179CC365}"/>
    <hyperlink ref="C19" r:id="rId8" xr:uid="{3D3DE4BB-3A1E-4241-8D74-37C5FEA64ACF}"/>
    <hyperlink ref="C20" r:id="rId9" xr:uid="{0622EFD4-731B-6746-8AF5-ED41B1AB8D1C}"/>
    <hyperlink ref="C22" r:id="rId10" xr:uid="{CA0862FC-2927-41B2-993D-7F96ADCC4234}"/>
    <hyperlink ref="C25" r:id="rId11" xr:uid="{29387F24-FAF7-46BC-A154-B6039C17CB84}"/>
    <hyperlink ref="C27" r:id="rId12" xr:uid="{B81B811C-9800-4694-A0D4-324D375612C5}"/>
    <hyperlink ref="C29" r:id="rId13" xr:uid="{D42543C8-099D-45FE-ADB8-33EE33E640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14</vt:i4>
      </vt:variant>
    </vt:vector>
  </HeadingPairs>
  <TitlesOfParts>
    <vt:vector size="17" baseType="lpstr">
      <vt:lpstr>בית</vt:lpstr>
      <vt:lpstr>עזר</vt:lpstr>
      <vt:lpstr>מקורות</vt:lpstr>
      <vt:lpstr>BUSINESS_INCOME</vt:lpstr>
      <vt:lpstr>Calendar_Year</vt:lpstr>
      <vt:lpstr>CHART_1_DATA</vt:lpstr>
      <vt:lpstr>CURRENT_ARNONA</vt:lpstr>
      <vt:lpstr>CURRENT_ELECTRICITY</vt:lpstr>
      <vt:lpstr>EMPLOYER_EXPANSES</vt:lpstr>
      <vt:lpstr>GENDERS</vt:lpstr>
      <vt:lpstr>LATEST</vt:lpstr>
      <vt:lpstr>SALARY</vt:lpstr>
      <vt:lpstr>TOTAL_EXPANSES</vt:lpstr>
      <vt:lpstr>valSelEmployee</vt:lpstr>
      <vt:lpstr>VER</vt:lpstr>
      <vt:lpstr>WATER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Eyal Bardugo</cp:lastModifiedBy>
  <dcterms:created xsi:type="dcterms:W3CDTF">2006-09-16T00:00:00Z</dcterms:created>
  <dcterms:modified xsi:type="dcterms:W3CDTF">2025-01-19T19:47:08Z</dcterms:modified>
</cp:coreProperties>
</file>